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116"/>
  <workbookPr codeName="ThisWorkbook"/>
  <mc:AlternateContent xmlns:mc="http://schemas.openxmlformats.org/markup-compatibility/2006">
    <mc:Choice Requires="x15">
      <x15ac:absPath xmlns:x15ac="http://schemas.microsoft.com/office/spreadsheetml/2010/11/ac" url="https://danaher-my.sharepoint.com/personal/ewegner_idtdna_com/Documents/Annual_PI_Protocol_Updates/"/>
    </mc:Choice>
  </mc:AlternateContent>
  <xr:revisionPtr revIDLastSave="0" documentId="8_{470B3D3D-4B19-544A-9C64-18D01AAA90D3}" xr6:coauthVersionLast="47" xr6:coauthVersionMax="47" xr10:uidLastSave="{00000000-0000-0000-0000-000000000000}"/>
  <bookViews>
    <workbookView xWindow="0" yWindow="760" windowWidth="34560" windowHeight="19940" xr2:uid="{195EE965-1978-2441-A228-22F5F617EA3D}"/>
  </bookViews>
  <sheets>
    <sheet name="Library - Standard Curve" sheetId="11" r:id="rId1"/>
    <sheet name="Library - Raw Data" sheetId="12" r:id="rId2"/>
    <sheet name="Library - Conc Calc" sheetId="5" r:id="rId3"/>
    <sheet name="Library Pooling Calculator" sheetId="6" r:id="rId4"/>
    <sheet name="Pool - Standard Curve" sheetId="13" r:id="rId5"/>
    <sheet name="Pool - Raw Data &amp; Conc Calc" sheetId="14" r:id="rId6"/>
    <sheet name="Sequencer Loading Sheet" sheetId="7" r:id="rId7"/>
  </sheets>
  <definedNames>
    <definedName name="_hkuut0b6068v" localSheetId="2">'Library - Conc Calc'!#REF!</definedName>
    <definedName name="_hkuut0b6068v" localSheetId="0">'Library - Standard Curve'!#REF!</definedName>
    <definedName name="_hkuut0b6068v" localSheetId="4">'Pool - Standard Curve'!#REF!</definedName>
    <definedName name="_l0w4yeicmv4n" localSheetId="2">'Library - Conc Calc'!$B$38</definedName>
    <definedName name="_l0w4yeicmv4n" localSheetId="0">'Library - Standard Curve'!#REF!</definedName>
    <definedName name="_l0w4yeicmv4n" localSheetId="4">'Pool - Standard Curve'!#REF!</definedName>
    <definedName name="_xlnm.Print_Area" localSheetId="0">'Library - Standard Curve'!$A$1:$K$47</definedName>
    <definedName name="_xlnm.Print_Area" localSheetId="4">'Pool - Standard Curve'!$A$1:$K$47</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1" i="6" l="1"/>
  <c r="B16" i="6"/>
  <c r="E38" i="13"/>
  <c r="H38" i="13" s="1"/>
  <c r="C38" i="13"/>
  <c r="D38" i="13" s="1"/>
  <c r="E37" i="13"/>
  <c r="H37" i="13" s="1"/>
  <c r="C37" i="13"/>
  <c r="D37" i="13" s="1"/>
  <c r="E36" i="13"/>
  <c r="C36" i="13"/>
  <c r="D36" i="13" s="1"/>
  <c r="E35" i="13"/>
  <c r="H35" i="13" s="1"/>
  <c r="C35" i="13"/>
  <c r="D35" i="13" s="1"/>
  <c r="E34" i="13"/>
  <c r="H34" i="13" s="1"/>
  <c r="C34" i="13"/>
  <c r="D34" i="13" s="1"/>
  <c r="E33" i="13"/>
  <c r="H33" i="13" s="1"/>
  <c r="C33" i="13"/>
  <c r="D33" i="13" s="1"/>
  <c r="E38" i="11"/>
  <c r="H38" i="11" s="1"/>
  <c r="F38" i="13" l="1"/>
  <c r="F36" i="13"/>
  <c r="C43" i="13"/>
  <c r="H36" i="13"/>
  <c r="F34" i="13"/>
  <c r="F37" i="13"/>
  <c r="F35" i="13"/>
  <c r="E37" i="11"/>
  <c r="H37" i="11" s="1"/>
  <c r="E36" i="11" l="1"/>
  <c r="H36" i="11" s="1"/>
  <c r="E35" i="11"/>
  <c r="H35" i="11" s="1"/>
  <c r="E34" i="11"/>
  <c r="H34" i="11" s="1"/>
  <c r="E33" i="11"/>
  <c r="E21" i="6"/>
  <c r="C11" i="5"/>
  <c r="B14" i="6" s="1"/>
  <c r="E14" i="14"/>
  <c r="E11" i="14"/>
  <c r="E8" i="14"/>
  <c r="F10" i="14" s="1"/>
  <c r="F26" i="13"/>
  <c r="G28" i="13" s="1"/>
  <c r="F23" i="13"/>
  <c r="G25" i="13" s="1"/>
  <c r="F20" i="13"/>
  <c r="G22" i="13" s="1"/>
  <c r="F17" i="13"/>
  <c r="G17" i="13" s="1"/>
  <c r="F14" i="13"/>
  <c r="G16" i="13" s="1"/>
  <c r="F11" i="13"/>
  <c r="F8" i="13"/>
  <c r="G10" i="13" s="1"/>
  <c r="C38" i="11"/>
  <c r="D38" i="11" s="1"/>
  <c r="C37" i="11"/>
  <c r="D37" i="11" s="1"/>
  <c r="C36" i="11"/>
  <c r="D36" i="11" s="1"/>
  <c r="C35" i="11"/>
  <c r="D35" i="11" s="1"/>
  <c r="C34" i="11"/>
  <c r="D34" i="11" s="1"/>
  <c r="C33" i="11"/>
  <c r="D33" i="11" s="1"/>
  <c r="E76" i="12"/>
  <c r="E73" i="12"/>
  <c r="E70" i="12"/>
  <c r="E67" i="12"/>
  <c r="E64" i="12"/>
  <c r="E61" i="12"/>
  <c r="E58" i="12"/>
  <c r="E55" i="12"/>
  <c r="E52" i="12"/>
  <c r="E49" i="12"/>
  <c r="E46" i="12"/>
  <c r="E43" i="12"/>
  <c r="E40" i="12"/>
  <c r="E37" i="12"/>
  <c r="E34" i="12"/>
  <c r="E31" i="12"/>
  <c r="E28" i="12"/>
  <c r="E25" i="12"/>
  <c r="E22" i="12"/>
  <c r="E19" i="12"/>
  <c r="E16" i="12"/>
  <c r="E13" i="12"/>
  <c r="E10" i="12"/>
  <c r="E7" i="12"/>
  <c r="C12" i="5"/>
  <c r="C13" i="5"/>
  <c r="C14" i="5"/>
  <c r="C15" i="5"/>
  <c r="C16" i="5"/>
  <c r="C17" i="5"/>
  <c r="C18" i="5"/>
  <c r="C19" i="5"/>
  <c r="C20" i="5"/>
  <c r="C21" i="5"/>
  <c r="C22" i="5"/>
  <c r="C23" i="5"/>
  <c r="C24" i="5"/>
  <c r="C25" i="5"/>
  <c r="C26" i="5"/>
  <c r="C27" i="5"/>
  <c r="C28" i="5"/>
  <c r="C29" i="5"/>
  <c r="C30" i="5"/>
  <c r="C31" i="5"/>
  <c r="C32" i="5"/>
  <c r="C33" i="5"/>
  <c r="C34" i="5"/>
  <c r="I18" i="6"/>
  <c r="G22" i="6" s="1"/>
  <c r="F75" i="12" l="1"/>
  <c r="F58" i="12"/>
  <c r="F33" i="12"/>
  <c r="F10" i="12"/>
  <c r="F78" i="12"/>
  <c r="F63" i="12"/>
  <c r="F66" i="12"/>
  <c r="F39" i="12"/>
  <c r="F42" i="12"/>
  <c r="F15" i="12"/>
  <c r="F46" i="12"/>
  <c r="F20" i="12"/>
  <c r="F49" i="12"/>
  <c r="F30" i="12"/>
  <c r="F34" i="12"/>
  <c r="F7" i="12"/>
  <c r="F68" i="12"/>
  <c r="F70" i="12"/>
  <c r="F22" i="12"/>
  <c r="F54" i="12"/>
  <c r="F18" i="12"/>
  <c r="F27" i="12"/>
  <c r="F55" i="12"/>
  <c r="H10" i="13"/>
  <c r="H33" i="11"/>
  <c r="C43" i="11"/>
  <c r="G43" i="12" s="1"/>
  <c r="C41" i="11" a="1"/>
  <c r="C41" i="11" s="1"/>
  <c r="F8" i="14"/>
  <c r="F9" i="14"/>
  <c r="F11" i="14"/>
  <c r="F12" i="14"/>
  <c r="F13" i="14"/>
  <c r="F14" i="14"/>
  <c r="F15" i="14"/>
  <c r="F16" i="14"/>
  <c r="G12" i="13"/>
  <c r="H19" i="13"/>
  <c r="G26" i="13"/>
  <c r="G27" i="13"/>
  <c r="G18" i="13"/>
  <c r="H25" i="13"/>
  <c r="G11" i="13"/>
  <c r="G19" i="13"/>
  <c r="G13" i="13"/>
  <c r="H13" i="13"/>
  <c r="G20" i="13"/>
  <c r="G15" i="13"/>
  <c r="H22" i="13"/>
  <c r="G9" i="13"/>
  <c r="H16" i="13"/>
  <c r="G23" i="13"/>
  <c r="G24" i="13"/>
  <c r="G21" i="13"/>
  <c r="G14" i="13"/>
  <c r="G8" i="13"/>
  <c r="F14" i="12"/>
  <c r="F26" i="12"/>
  <c r="F38" i="12"/>
  <c r="F50" i="12"/>
  <c r="F62" i="12"/>
  <c r="F74" i="12"/>
  <c r="F11" i="12"/>
  <c r="F35" i="12"/>
  <c r="F59" i="12"/>
  <c r="F24" i="12"/>
  <c r="F48" i="12"/>
  <c r="F72" i="12"/>
  <c r="F51" i="12"/>
  <c r="F23" i="12"/>
  <c r="F47" i="12"/>
  <c r="F71" i="12"/>
  <c r="F12" i="12"/>
  <c r="F36" i="12"/>
  <c r="F60" i="12"/>
  <c r="F43" i="12"/>
  <c r="F64" i="12"/>
  <c r="F19" i="12"/>
  <c r="F31" i="12"/>
  <c r="F67" i="12"/>
  <c r="F16" i="12"/>
  <c r="F8" i="12"/>
  <c r="F44" i="12"/>
  <c r="F56" i="12"/>
  <c r="F9" i="12"/>
  <c r="F21" i="12"/>
  <c r="F37" i="12"/>
  <c r="F45" i="12"/>
  <c r="F57" i="12"/>
  <c r="F69" i="12"/>
  <c r="F73" i="12"/>
  <c r="F40" i="12"/>
  <c r="F52" i="12"/>
  <c r="F28" i="12"/>
  <c r="F76" i="12"/>
  <c r="F32" i="12"/>
  <c r="F13" i="12"/>
  <c r="F25" i="12"/>
  <c r="F61" i="12"/>
  <c r="F17" i="12"/>
  <c r="F29" i="12"/>
  <c r="F41" i="12"/>
  <c r="F53" i="12"/>
  <c r="F65" i="12"/>
  <c r="F77" i="12"/>
  <c r="G37" i="6"/>
  <c r="G33" i="6"/>
  <c r="G31" i="6"/>
  <c r="G30" i="6"/>
  <c r="G29" i="6"/>
  <c r="G28" i="6"/>
  <c r="G27" i="6"/>
  <c r="G36" i="6"/>
  <c r="G35" i="6"/>
  <c r="G34" i="6"/>
  <c r="G26" i="6"/>
  <c r="G25" i="6"/>
  <c r="G32" i="6"/>
  <c r="G24" i="6"/>
  <c r="G23" i="6"/>
  <c r="E14" i="6"/>
  <c r="E15" i="6"/>
  <c r="E16" i="6"/>
  <c r="E17" i="6"/>
  <c r="E18" i="6"/>
  <c r="E19" i="6"/>
  <c r="E20" i="6"/>
  <c r="E22" i="6"/>
  <c r="E23" i="6"/>
  <c r="E24" i="6"/>
  <c r="E25" i="6"/>
  <c r="E26" i="6"/>
  <c r="E27" i="6"/>
  <c r="E28" i="6"/>
  <c r="E29" i="6"/>
  <c r="E30" i="6"/>
  <c r="E31" i="6"/>
  <c r="E32" i="6"/>
  <c r="E33" i="6"/>
  <c r="E34" i="6"/>
  <c r="E35" i="6"/>
  <c r="E36" i="6"/>
  <c r="E37" i="6"/>
  <c r="G22" i="12" l="1"/>
  <c r="G28" i="12"/>
  <c r="G40" i="12"/>
  <c r="G10" i="12"/>
  <c r="G55" i="12"/>
  <c r="G70" i="12"/>
  <c r="G49" i="12"/>
  <c r="G37" i="12"/>
  <c r="G31" i="12"/>
  <c r="G25" i="12"/>
  <c r="G67" i="12"/>
  <c r="G19" i="12"/>
  <c r="G64" i="12"/>
  <c r="G58" i="12"/>
  <c r="G16" i="12"/>
  <c r="G7" i="12"/>
  <c r="G46" i="12"/>
  <c r="G61" i="12"/>
  <c r="G73" i="12"/>
  <c r="G52" i="12"/>
  <c r="G34" i="12"/>
  <c r="G13" i="12"/>
  <c r="G76" i="12"/>
  <c r="C42" i="13" a="1"/>
  <c r="C42" i="13" s="1"/>
  <c r="C41" i="13" a="1"/>
  <c r="C41" i="13" s="1"/>
  <c r="C40" i="13" a="1"/>
  <c r="C40" i="13" s="1"/>
  <c r="F17" i="6"/>
  <c r="F8" i="11"/>
  <c r="F26" i="11"/>
  <c r="G27" i="11" s="1"/>
  <c r="F23" i="11"/>
  <c r="G24" i="11" s="1"/>
  <c r="F20" i="11"/>
  <c r="F17" i="11"/>
  <c r="G17" i="11" s="1"/>
  <c r="F14" i="11"/>
  <c r="G15" i="11" s="1"/>
  <c r="F11" i="11"/>
  <c r="G11" i="14" l="1"/>
  <c r="H11" i="14" s="1"/>
  <c r="K11" i="14" s="1"/>
  <c r="G14" i="14"/>
  <c r="H14" i="14" s="1"/>
  <c r="K14" i="14" s="1"/>
  <c r="G8" i="14"/>
  <c r="H8" i="14" s="1"/>
  <c r="K8" i="14" s="1"/>
  <c r="G10" i="11"/>
  <c r="G11" i="11"/>
  <c r="H10" i="11"/>
  <c r="G15" i="6"/>
  <c r="G14" i="6"/>
  <c r="F14" i="6"/>
  <c r="G13" i="11"/>
  <c r="G14" i="11"/>
  <c r="G12" i="11"/>
  <c r="G19" i="11"/>
  <c r="G28" i="11"/>
  <c r="G18" i="11"/>
  <c r="G16" i="11"/>
  <c r="G26" i="11"/>
  <c r="F38" i="11"/>
  <c r="G8" i="11"/>
  <c r="G9" i="11"/>
  <c r="G22" i="11"/>
  <c r="G21" i="11"/>
  <c r="G20" i="11"/>
  <c r="G23" i="11"/>
  <c r="G25" i="11"/>
  <c r="F34" i="11" l="1"/>
  <c r="C42" i="11" a="1"/>
  <c r="C42" i="11" s="1"/>
  <c r="C40" i="11" a="1"/>
  <c r="C40" i="11" s="1"/>
  <c r="F35" i="11"/>
  <c r="F36" i="11"/>
  <c r="F37" i="11"/>
  <c r="H22" i="11"/>
  <c r="H13" i="11"/>
  <c r="H25" i="11"/>
  <c r="H19" i="11"/>
  <c r="H16" i="11"/>
  <c r="B15" i="6"/>
  <c r="B37" i="6"/>
  <c r="B36" i="6"/>
  <c r="B35" i="6"/>
  <c r="B34" i="6"/>
  <c r="B33" i="6"/>
  <c r="B32" i="6"/>
  <c r="B31" i="6"/>
  <c r="B30" i="6"/>
  <c r="B29" i="6"/>
  <c r="B28" i="6"/>
  <c r="B27" i="6"/>
  <c r="B26" i="6"/>
  <c r="B25" i="6"/>
  <c r="B24" i="6"/>
  <c r="B23" i="6"/>
  <c r="B22" i="6"/>
  <c r="B20" i="6"/>
  <c r="B19" i="6"/>
  <c r="B18" i="6"/>
  <c r="B17" i="6"/>
  <c r="G19" i="6" l="1"/>
  <c r="G20" i="6"/>
  <c r="F20" i="6"/>
  <c r="F18" i="6"/>
  <c r="F22" i="6"/>
  <c r="J27" i="6" l="1"/>
  <c r="J26" i="6"/>
  <c r="J28" i="6"/>
  <c r="J29" i="6"/>
  <c r="F31" i="6" l="1"/>
  <c r="F32" i="6"/>
  <c r="G18" i="6"/>
  <c r="F24" i="6"/>
  <c r="G21" i="6"/>
  <c r="G17" i="6"/>
  <c r="F23" i="6"/>
  <c r="F30" i="6"/>
  <c r="F29" i="6"/>
  <c r="F36" i="6"/>
  <c r="F28" i="6"/>
  <c r="F35" i="6"/>
  <c r="F27" i="6"/>
  <c r="F19" i="6"/>
  <c r="F37" i="6"/>
  <c r="F34" i="6"/>
  <c r="F26" i="6"/>
  <c r="F21" i="6"/>
  <c r="F33" i="6"/>
  <c r="F25" i="6"/>
  <c r="P43" i="7" l="1"/>
  <c r="E40" i="7"/>
  <c r="P27" i="7" s="1"/>
  <c r="P38" i="7"/>
  <c r="P23" i="7"/>
  <c r="P22" i="7"/>
  <c r="P21" i="7"/>
  <c r="E21" i="7"/>
  <c r="F16" i="6" l="1"/>
  <c r="F15" i="6"/>
  <c r="G16" i="6"/>
  <c r="I15" i="6" s="1"/>
  <c r="E22" i="7"/>
  <c r="E23" i="7" s="1"/>
  <c r="I21" i="6" l="1"/>
  <c r="E26" i="7"/>
  <c r="J21" i="7"/>
  <c r="E27" i="7"/>
  <c r="E33" i="7" l="1"/>
  <c r="E29" i="7"/>
  <c r="E32" i="7" l="1"/>
  <c r="J26" i="7"/>
  <c r="J27" i="7"/>
  <c r="E34" i="7" l="1"/>
  <c r="J33" i="7" s="1"/>
  <c r="E35" i="7" l="1"/>
  <c r="J32" i="7" s="1"/>
  <c r="E39" i="7" s="1"/>
  <c r="P26" i="7" l="1"/>
  <c r="E41" i="7"/>
  <c r="P28" i="7"/>
  <c r="E43" i="7"/>
  <c r="D42" i="7" s="1"/>
  <c r="P29" i="7" l="1"/>
  <c r="J40" i="7"/>
  <c r="J39" i="7"/>
  <c r="J41" i="7"/>
  <c r="J42" i="7"/>
  <c r="H46" i="12" l="1"/>
  <c r="D24" i="5" s="1"/>
  <c r="G24" i="5" s="1"/>
  <c r="I24" i="5" s="1"/>
  <c r="H16" i="12"/>
  <c r="D14" i="5" s="1"/>
  <c r="G14" i="5" s="1"/>
  <c r="I14" i="5" s="1"/>
  <c r="H19" i="12"/>
  <c r="D15" i="5" s="1"/>
  <c r="G15" i="5" s="1"/>
  <c r="I15" i="5" s="1"/>
  <c r="H40" i="12"/>
  <c r="D22" i="5" s="1"/>
  <c r="G22" i="5" s="1"/>
  <c r="I22" i="5" s="1"/>
  <c r="H70" i="12"/>
  <c r="D32" i="5" s="1"/>
  <c r="G32" i="5" s="1"/>
  <c r="I32" i="5" s="1"/>
  <c r="H43" i="12"/>
  <c r="D23" i="5" s="1"/>
  <c r="G23" i="5" s="1"/>
  <c r="I23" i="5" s="1"/>
  <c r="H73" i="12"/>
  <c r="D33" i="5" s="1"/>
  <c r="G33" i="5" s="1"/>
  <c r="I33" i="5" s="1"/>
  <c r="H28" i="12"/>
  <c r="D18" i="5" s="1"/>
  <c r="G18" i="5" s="1"/>
  <c r="I18" i="5" s="1"/>
  <c r="H76" i="12"/>
  <c r="D34" i="5" s="1"/>
  <c r="G34" i="5" s="1"/>
  <c r="I34" i="5" s="1"/>
  <c r="H10" i="12"/>
  <c r="D12" i="5" s="1"/>
  <c r="G12" i="5" s="1"/>
  <c r="I12" i="5" s="1"/>
  <c r="H49" i="12"/>
  <c r="D25" i="5" s="1"/>
  <c r="G25" i="5" s="1"/>
  <c r="I25" i="5" s="1"/>
  <c r="H67" i="12"/>
  <c r="D31" i="5" s="1"/>
  <c r="G31" i="5" s="1"/>
  <c r="I31" i="5" s="1"/>
  <c r="H61" i="12"/>
  <c r="D29" i="5" s="1"/>
  <c r="G29" i="5" s="1"/>
  <c r="I29" i="5" s="1"/>
  <c r="H58" i="12"/>
  <c r="D28" i="5" s="1"/>
  <c r="G28" i="5" s="1"/>
  <c r="I28" i="5" s="1"/>
  <c r="H52" i="12"/>
  <c r="D26" i="5" s="1"/>
  <c r="G26" i="5" s="1"/>
  <c r="I26" i="5" s="1"/>
  <c r="H64" i="12"/>
  <c r="D30" i="5" s="1"/>
  <c r="G30" i="5" s="1"/>
  <c r="I30" i="5" s="1"/>
  <c r="H22" i="12"/>
  <c r="D16" i="5" s="1"/>
  <c r="G16" i="5" s="1"/>
  <c r="I16" i="5" s="1"/>
  <c r="H37" i="12"/>
  <c r="D21" i="5" s="1"/>
  <c r="G21" i="5" s="1"/>
  <c r="I21" i="5" s="1"/>
  <c r="H25" i="12"/>
  <c r="D17" i="5" s="1"/>
  <c r="G17" i="5" s="1"/>
  <c r="I17" i="5" s="1"/>
  <c r="H7" i="12"/>
  <c r="D11" i="5" s="1"/>
  <c r="G11" i="5" s="1"/>
  <c r="I11" i="5" s="1"/>
  <c r="H55" i="12"/>
  <c r="D27" i="5" s="1"/>
  <c r="G27" i="5" s="1"/>
  <c r="I27" i="5" s="1"/>
  <c r="H13" i="12"/>
  <c r="D13" i="5" s="1"/>
  <c r="G13" i="5" s="1"/>
  <c r="I13" i="5" s="1"/>
  <c r="H34" i="12"/>
  <c r="D20" i="5" s="1"/>
  <c r="G20" i="5" s="1"/>
  <c r="I20" i="5" s="1"/>
  <c r="H31" i="12"/>
  <c r="D19" i="5" s="1"/>
  <c r="G19" i="5" s="1"/>
  <c r="I19"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<sst xmlns="http://schemas.openxmlformats.org/spreadsheetml/2006/main" count="280" uniqueCount="175">
  <si>
    <t>Evaluation of Library qPCR Standards</t>
  </si>
  <si>
    <t>Enter the Ct scores of the six standards into the fields highlighted in green (column C).</t>
  </si>
  <si>
    <t>If the Ct score for any replicate varies by more than +/- 0.25 from the other two values (column G), move the outlier to "Outliers" (column D), so it is no longer used in calculations.</t>
  </si>
  <si>
    <t>The average Ct score for each Std should be ~3.3 cycles later than the Std that is 10-fold more concentrated (between 3.2 and 3.45 is ideal, between 3.1 and 3.6 is still acceptable; column H).</t>
  </si>
  <si>
    <t>If the spacing between any two standards is less than 3.1 cycles or more than 3.6 cycles, those data points (and any library samples falling between those data points) are not reliable.</t>
  </si>
  <si>
    <t>Standard</t>
  </si>
  <si>
    <t>Ct</t>
  </si>
  <si>
    <t>Outliers</t>
  </si>
  <si>
    <t>Conc in pM</t>
  </si>
  <si>
    <t>Average Ct</t>
  </si>
  <si>
    <t>Difference</t>
  </si>
  <si>
    <t>Delta Ct</t>
  </si>
  <si>
    <t xml:space="preserve">Standard 1 </t>
  </si>
  <si>
    <t>-</t>
  </si>
  <si>
    <t>Standard 2</t>
  </si>
  <si>
    <t xml:space="preserve">Standard 3 </t>
  </si>
  <si>
    <t>Standard 4</t>
  </si>
  <si>
    <t>Standard 5</t>
  </si>
  <si>
    <t>Standard 6</t>
  </si>
  <si>
    <t>NTC</t>
  </si>
  <si>
    <t>Standard Curve and Reaction Efficiency</t>
  </si>
  <si>
    <t>Log Conc</t>
  </si>
  <si>
    <t>Standard 1</t>
  </si>
  <si>
    <t>Standard 3</t>
  </si>
  <si>
    <t>Efficiency:</t>
  </si>
  <si>
    <t>Should be between 90 and 110%</t>
  </si>
  <si>
    <t>Slope:</t>
  </si>
  <si>
    <t>R-squared:</t>
  </si>
  <si>
    <t>Should be between 0.99 and 1.00</t>
  </si>
  <si>
    <t>Intercept:</t>
  </si>
  <si>
    <t>Evaluation of Library Raw Data</t>
  </si>
  <si>
    <t>Enter the appropriate information into the columns highlighted in green (columns B and C).</t>
  </si>
  <si>
    <t>If the Ct score for any replicate varies by more than +/- 0.25 from the other two values (column F), move the outlier to "Outliers" (column D), so it no longer is used in calculations.</t>
  </si>
  <si>
    <t>If the Ct score for a sample is smaller than the average Ct score for Std 1, the data from that dilution cannot be used.</t>
  </si>
  <si>
    <t>Library ID</t>
  </si>
  <si>
    <t>log(Conc)</t>
  </si>
  <si>
    <t>Diluted, Uncorrected Library Concentration (pM)</t>
  </si>
  <si>
    <t>Library Concentration and Dilution Calculator</t>
  </si>
  <si>
    <t>Enter the appropriate information into the fields highlighted in green (cell D8, columns E, F and H). Use the values calculated in blue (column I) to dilute the individual libraries to the target concentration.</t>
  </si>
  <si>
    <t>Target library concentration (cell D8) usually ranges between 4-10 nM. 5-10nM is the recommended target concentration if KAPA Quantification of the final pool will be performed prior to sequencing.</t>
  </si>
  <si>
    <t>Library volume for dilution (column H) should not be &lt; 2 µL to avoid pipetting errors. Mix volumns shown in columns H and I to obtain libraries of the desired target concentration (cell D8).</t>
  </si>
  <si>
    <t>Rows 11-18 show exemplary 8 FusionPlex libraries that were diluted 1:250,000 to demonstrate the use of this table. Replace these values with values specific to the quantified libraries.</t>
  </si>
  <si>
    <t>*Use the suggested total fragment length (as listed on the right side for different assays), or experimentally determined average fragment lengths for the individual libraries.</t>
  </si>
  <si>
    <t>Target Library Concentration (nM)</t>
  </si>
  <si>
    <t>Suggested size-adjustment correction factors:</t>
  </si>
  <si>
    <t xml:space="preserve">Tube </t>
  </si>
  <si>
    <t>Dilution factor</t>
  </si>
  <si>
    <t>Average Fragment Length (bp)*</t>
  </si>
  <si>
    <t>Undiluted Library Concentration (nM)</t>
  </si>
  <si>
    <t>Library Volume for Dilution (µL)</t>
  </si>
  <si>
    <t>Volume 10mM Tris-HCl pH 8.0 (µL)</t>
  </si>
  <si>
    <t>Assay (Input Type)</t>
  </si>
  <si>
    <t>Estimated total fragment length (bp)**</t>
  </si>
  <si>
    <t>FusionPlex® (RNA/TNA)</t>
  </si>
  <si>
    <t>VariantPlex® (DNA/TNA - High Quality (e.g. fresh tissue))</t>
  </si>
  <si>
    <t>VariantPlex® (DNA/TNA - Low Quality (e.g. FFPE))</t>
  </si>
  <si>
    <t>LiquidPlex® (ctDNA/cfDNA)</t>
  </si>
  <si>
    <t>Immunoverse™ (RNA/TNA)</t>
  </si>
  <si>
    <t>KAPA standard size (bp)</t>
  </si>
  <si>
    <t>** includes 157 bp adapter length</t>
  </si>
  <si>
    <t>A fragment size correction is required to accurately calculate library concentrations using KAPA Library Quantification Kits. Expected fragment lengths for Anchored Multiplex PCR (AMP™) libraries are listed above. These values can be used instead of determining the fragment length experimentally, and may require optimization for optimal loading.</t>
  </si>
  <si>
    <t>Library Pooling Calculator</t>
  </si>
  <si>
    <t>Fill out cells in green (cells C10-11, columns C-D) with the appropriate information.</t>
  </si>
  <si>
    <t>Red cells indicate volumes &lt; 2 µL. Consider increasing the "Target Pool Volume" to avoid pipetting volumes &lt; 2 µL.</t>
  </si>
  <si>
    <t>The value calculated for "Total Reads Required" (cell I18) should be used to determine the appropriate Illumina® flow cell.</t>
  </si>
  <si>
    <t>"Reads Required" (column C) is panel specific and can be found in the Product Insert.</t>
  </si>
  <si>
    <t>Rows 14-21 are prefilled with values for a sequencing pool of 8 samples, of which 4 require 3.5M reads per sample, and 4 require 2M reads to demonstrate the use of this table.</t>
  </si>
  <si>
    <t>Replace the values in rows 14-21 with values specific to the quantified libraries.</t>
  </si>
  <si>
    <t>Target Pool Volume (µL)</t>
  </si>
  <si>
    <t xml:space="preserve">50µL is the recommended minimum to enable both KAPA Quantification of the final pool and sequencer loading. </t>
  </si>
  <si>
    <t>Target Pool Concentration (nM)</t>
  </si>
  <si>
    <t>5-10nM is the recommended target concentration if KAPA Quantification of the final pool will be performed prior to sequencing.</t>
  </si>
  <si>
    <t>Reads Required (M)</t>
  </si>
  <si>
    <t>Diluted Library Concentration      (nM, size corrected)</t>
  </si>
  <si>
    <t>Average Fragment Length (bp)</t>
  </si>
  <si>
    <t>% of Total Reads</t>
  </si>
  <si>
    <t>Volume of Library to Add to Pool (µL)</t>
  </si>
  <si>
    <t>Volume 10mM Tris-HCl, pH 8.0 to Add to Pool (µL)</t>
  </si>
  <si>
    <t>Total Reads Required (M)</t>
  </si>
  <si>
    <t xml:space="preserve"> Average Fragment Length of the Pool (bp)*</t>
  </si>
  <si>
    <t>*Use for Quantification of the Final Pool</t>
  </si>
  <si>
    <t>Illumina® Platform</t>
  </si>
  <si>
    <t>Expected Reads Passing Filter (M)**</t>
  </si>
  <si>
    <t>Illumina® NextSeq 550 Mid-Output Kit</t>
  </si>
  <si>
    <t>Illumina® NextSeq 550 High-Output Kit</t>
  </si>
  <si>
    <t>Illumina® MiSeq v2</t>
  </si>
  <si>
    <t>Illumina® MiSeq v3</t>
  </si>
  <si>
    <t>**adjusted based on standard, platform specific PhiX% recommendation</t>
  </si>
  <si>
    <t>Evaluation of Pool qPCR Standards</t>
  </si>
  <si>
    <t>If the Ct score for any replicate varies by more than +/- 0.25 from the other two values (column G), move the outlier to "Outliers" (column D), so it no longer is used in calculations.</t>
  </si>
  <si>
    <t>Evaluation of Pool Raw Data and Pool Concentration Calculator</t>
  </si>
  <si>
    <t>Enter the appropriate information into the columns highlighted in green (columns B, C, I, and J).</t>
  </si>
  <si>
    <t>*The average fragment length for the pool is calculated based on library fragment length and proportion of pool in cell I21 of the Library Pooling Calculator tab</t>
  </si>
  <si>
    <t>Pool ID</t>
  </si>
  <si>
    <t>Diluted, Uncorrected Pool Concentration (pM)</t>
  </si>
  <si>
    <t>Undiluted Pool Concentration (nM)</t>
  </si>
  <si>
    <t>Sequencer Loading Calculator</t>
  </si>
  <si>
    <r>
      <t>Enter appropriate values in the green box. Follow the steps in the blue box. Red text</t>
    </r>
    <r>
      <rPr>
        <sz val="12"/>
        <color rgb="FFFF0000"/>
        <rFont val="Arial (Body)"/>
      </rPr>
      <t xml:space="preserve"> in any box indicates incompatible loading conditions.</t>
    </r>
  </si>
  <si>
    <t>The green box is prefilled with exemplary values for a NextSeq 500/550 sequencing run to demonstrate the use of the table. Replace these values with values appropriate to the specific situation.</t>
  </si>
  <si>
    <t>Loading Conditions</t>
  </si>
  <si>
    <t>Recommendations*</t>
  </si>
  <si>
    <t>Parameters for final loading</t>
  </si>
  <si>
    <t>MiSeq</t>
  </si>
  <si>
    <t>Final pool concentration (nM):</t>
  </si>
  <si>
    <t>Desired loading conc. (pM):</t>
  </si>
  <si>
    <t>Loading concentration</t>
  </si>
  <si>
    <t>6 - 20 pM (for V3 kit)</t>
  </si>
  <si>
    <t>Desired loading volume (μL):</t>
  </si>
  <si>
    <t>PhiX Spike-in**</t>
  </si>
  <si>
    <t>5%</t>
  </si>
  <si>
    <t>Parameters for denaturing step</t>
  </si>
  <si>
    <t>Desired PhiX (%):</t>
  </si>
  <si>
    <t>NextSeq 500/550</t>
  </si>
  <si>
    <t>Desired denaturing concentration (nM):</t>
  </si>
  <si>
    <t>Conc. PhiX, denat. &amp; dilut. (pM):</t>
  </si>
  <si>
    <t>1.0 - 1.8 pM</t>
  </si>
  <si>
    <t>Desired pool volume for denaturation (μL):</t>
  </si>
  <si>
    <t>10 - 20%</t>
  </si>
  <si>
    <t xml:space="preserve"> (4 nM and 10 μL recommended)</t>
  </si>
  <si>
    <t>*Ideal loading concentrations need to be determined empirically.</t>
  </si>
  <si>
    <t xml:space="preserve">**If libraries were prepared using liquid adapters, PhiX spike-in can be reduced to 1-2%. </t>
  </si>
  <si>
    <r>
      <t xml:space="preserve">Do not edit anything below this point. Follow the steps under "Preparation instructions" below. </t>
    </r>
    <r>
      <rPr>
        <sz val="12"/>
        <color theme="1"/>
        <rFont val="Arial (Body)"/>
      </rPr>
      <t>These instructions are of an off-instrument denaturation process.</t>
    </r>
  </si>
  <si>
    <t>Preparation Instructions</t>
  </si>
  <si>
    <t>Stepwise Review</t>
  </si>
  <si>
    <t>Final Review</t>
  </si>
  <si>
    <t>Tube 1</t>
  </si>
  <si>
    <t>1)</t>
  </si>
  <si>
    <t>Dilute final pool</t>
  </si>
  <si>
    <t>μL</t>
  </si>
  <si>
    <t>Concentrations after Step 1</t>
  </si>
  <si>
    <t>Reference</t>
  </si>
  <si>
    <t>Add final pool</t>
  </si>
  <si>
    <t>Pooled library DNA (pM)</t>
  </si>
  <si>
    <t>Target pmols library</t>
  </si>
  <si>
    <t>Add H2O</t>
  </si>
  <si>
    <t>NaOH (mM)</t>
  </si>
  <si>
    <t>Target pmols PhiX</t>
  </si>
  <si>
    <t>Step 1 final voume (μL)</t>
  </si>
  <si>
    <t>Target pmols total DNA</t>
  </si>
  <si>
    <t>2)</t>
  </si>
  <si>
    <t>Denature diluted final pool</t>
  </si>
  <si>
    <t>Concentrations after Step 2</t>
  </si>
  <si>
    <t>Check</t>
  </si>
  <si>
    <t>Diluted final pool from Step 1</t>
  </si>
  <si>
    <t>Pooled Library DNA (pM)</t>
  </si>
  <si>
    <t>Calc. pmols Library</t>
  </si>
  <si>
    <t>200 mM NaOH</t>
  </si>
  <si>
    <t>Calc. pmols PhiX</t>
  </si>
  <si>
    <t>Incubate for 5 minutes at room temperature</t>
  </si>
  <si>
    <t>Calc. pmols Total DNA</t>
  </si>
  <si>
    <t>Step 2 final volume (μL)</t>
  </si>
  <si>
    <t>Calc. total DNA (pM)</t>
  </si>
  <si>
    <t>* Ensure the cells above are green before moving forward.</t>
  </si>
  <si>
    <t>3)</t>
  </si>
  <si>
    <t>Neutralize and dilute</t>
  </si>
  <si>
    <t>Concentrations after Step 3</t>
  </si>
  <si>
    <t>Denatured final pool from Step 2</t>
  </si>
  <si>
    <t>200 mM Tris pH 7.0</t>
  </si>
  <si>
    <t>Useful Solution Recipes</t>
  </si>
  <si>
    <t>Hyb Buffer</t>
  </si>
  <si>
    <t>Step 3 and Tube 1 final volume (μL)</t>
  </si>
  <si>
    <t>5 M NaOH (μL)</t>
  </si>
  <si>
    <t>Tube 2</t>
  </si>
  <si>
    <t>H2O (μL)</t>
  </si>
  <si>
    <t>4)</t>
  </si>
  <si>
    <t>Add denatured PhiX and dilute to loading conc.</t>
  </si>
  <si>
    <t>Concentrations after Step 4</t>
  </si>
  <si>
    <t>Final Vol. (μL)</t>
  </si>
  <si>
    <t>Diluted/denatured pool from Step 3 Tube 1</t>
  </si>
  <si>
    <t xml:space="preserve">PhiX </t>
  </si>
  <si>
    <t>PhiX DNA (pM)</t>
  </si>
  <si>
    <t>1 M Tris pH 7.0 (μL)</t>
  </si>
  <si>
    <t>Total DNA (pM)</t>
  </si>
  <si>
    <t>Tube 2 final vol. (μL)</t>
  </si>
  <si>
    <t>Use volumns calculated in blue cells (column G, cell I15) to obtain a pool with desired sample ratios.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</si>
</sst>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1" formatCode="_(* #,##0_);_(* \(#,##0\);_(* &quot;-&quot;_);_(@_)"/>
    <numFmt numFmtId="43" formatCode="_(* #,##0.00_);_(* \(#,##0.00\);_(* &quot;-&quot;??_);_(@_)"/>
    <numFmt numFmtId="164" formatCode="0.0"/>
    <numFmt numFmtId="165" formatCode="0.0000"/>
    <numFmt numFmtId="166" formatCode="0.000"/>
    <numFmt numFmtId="167" formatCode="#,##0.0"/>
  </numFmts>
  <fonts count="45" x14ac:knownFonts="1">
    <font>
      <sz val="10"/>
      <color rgb="FF000000"/>
      <name val="Arial"/>
    </font>
    <font>
      <sz val="12"/>
      <color theme="1"/>
      <name val="Arial"/>
      <family val="2"/>
      <scheme val="minor"/>
    </font>
    <font>
      <sz val="11"/>
      <color theme="1"/>
      <name val="Arial"/>
      <family val="2"/>
      <scheme val="minor"/>
    </font>
    <font>
      <sz val="12"/>
      <color theme="1"/>
      <name val="Arial"/>
      <family val="2"/>
      <scheme val="minor"/>
    </font>
    <font>
      <b/>
      <sz val="12"/>
      <color theme="0"/>
      <name val="Arial"/>
      <family val="2"/>
      <scheme val="minor"/>
    </font>
    <font>
      <sz val="12"/>
      <color rgb="FFFF0000"/>
      <name val="Arial"/>
      <family val="2"/>
      <scheme val="minor"/>
    </font>
    <font>
      <b/>
      <sz val="12"/>
      <color theme="1"/>
      <name val="Arial"/>
      <family val="2"/>
      <scheme val="minor"/>
    </font>
    <font>
      <b/>
      <sz val="16"/>
      <color theme="1"/>
      <name val="Arial"/>
      <family val="2"/>
      <scheme val="minor"/>
    </font>
    <font>
      <b/>
      <sz val="12"/>
      <name val="Arial"/>
      <family val="2"/>
      <scheme val="minor"/>
    </font>
    <font>
      <sz val="12"/>
      <color rgb="FF000000"/>
      <name val="Arial"/>
      <family val="2"/>
      <scheme val="minor"/>
    </font>
    <font>
      <sz val="12"/>
      <name val="Arial"/>
      <family val="2"/>
      <scheme val="minor"/>
    </font>
    <font>
      <b/>
      <sz val="12"/>
      <color rgb="FF000000"/>
      <name val="Arial"/>
      <family val="2"/>
      <scheme val="minor"/>
    </font>
    <font>
      <b/>
      <sz val="12"/>
      <color theme="1"/>
      <name val="Arial"/>
      <family val="2"/>
    </font>
    <font>
      <b/>
      <sz val="12"/>
      <color theme="5" tint="-0.249977111117893"/>
      <name val="Arial"/>
      <family val="2"/>
    </font>
    <font>
      <b/>
      <sz val="12"/>
      <name val="Arial"/>
      <family val="2"/>
    </font>
    <font>
      <sz val="12"/>
      <name val="Arial"/>
      <family val="2"/>
    </font>
    <font>
      <b/>
      <i/>
      <sz val="12"/>
      <color theme="1"/>
      <name val="Arial"/>
      <family val="2"/>
    </font>
    <font>
      <b/>
      <sz val="12"/>
      <color rgb="FF000000"/>
      <name val="Arial"/>
      <family val="2"/>
    </font>
    <font>
      <sz val="12"/>
      <color rgb="FF000000"/>
      <name val="Arial"/>
      <family val="2"/>
    </font>
    <font>
      <sz val="12"/>
      <color theme="1"/>
      <name val="Arial"/>
      <family val="2"/>
    </font>
    <font>
      <u/>
      <sz val="12"/>
      <color theme="1"/>
      <name val="Arial"/>
      <family val="2"/>
      <scheme val="minor"/>
    </font>
    <font>
      <sz val="11"/>
      <color rgb="FF000000"/>
      <name val="Arial"/>
      <family val="2"/>
      <scheme val="minor"/>
    </font>
    <font>
      <sz val="12"/>
      <color theme="0"/>
      <name val="Arial"/>
      <family val="2"/>
    </font>
    <font>
      <b/>
      <sz val="12"/>
      <color theme="0"/>
      <name val="Arial"/>
      <family val="2"/>
    </font>
    <font>
      <b/>
      <sz val="16"/>
      <color theme="1"/>
      <name val="Arial"/>
      <family val="2"/>
    </font>
    <font>
      <sz val="11"/>
      <color rgb="FF222222"/>
      <name val="Arial"/>
      <family val="2"/>
      <scheme val="minor"/>
    </font>
    <font>
      <sz val="10"/>
      <color rgb="FF000000"/>
      <name val="Arial"/>
      <family val="2"/>
    </font>
    <font>
      <sz val="11"/>
      <color rgb="FF9C0006"/>
      <name val="Arial"/>
      <family val="2"/>
      <scheme val="minor"/>
    </font>
    <font>
      <sz val="10"/>
      <name val="Verdana"/>
      <family val="2"/>
    </font>
    <font>
      <sz val="11"/>
      <color indexed="8"/>
      <name val="Arial"/>
      <family val="2"/>
    </font>
    <font>
      <sz val="10"/>
      <color rgb="FF000000"/>
      <name val="Arial"/>
      <family val="2"/>
      <scheme val="minor"/>
    </font>
    <font>
      <sz val="12"/>
      <color indexed="10"/>
      <name val="Arial"/>
      <family val="2"/>
      <scheme val="minor"/>
    </font>
    <font>
      <sz val="12"/>
      <color indexed="8"/>
      <name val="Arial"/>
      <family val="2"/>
      <scheme val="minor"/>
    </font>
    <font>
      <b/>
      <sz val="12"/>
      <color indexed="17"/>
      <name val="Arial"/>
      <family val="2"/>
      <scheme val="minor"/>
    </font>
    <font>
      <b/>
      <sz val="12"/>
      <color rgb="FFFF0000"/>
      <name val="Arial"/>
      <family val="2"/>
      <scheme val="minor"/>
    </font>
    <font>
      <sz val="12"/>
      <color rgb="FF9C0006"/>
      <name val="Arial"/>
      <family val="2"/>
      <scheme val="minor"/>
    </font>
    <font>
      <i/>
      <sz val="12"/>
      <color theme="1"/>
      <name val="Arial"/>
      <family val="2"/>
      <scheme val="minor"/>
    </font>
    <font>
      <b/>
      <sz val="12"/>
      <color rgb="FFFF0000"/>
      <name val="Arial (Body)"/>
    </font>
    <font>
      <sz val="12"/>
      <color theme="1"/>
      <name val="Arial (Body)"/>
    </font>
    <font>
      <b/>
      <sz val="12"/>
      <color theme="0"/>
      <name val="Arial (Body)"/>
    </font>
    <font>
      <b/>
      <sz val="12"/>
      <color indexed="8"/>
      <name val="Arial"/>
      <family val="2"/>
      <scheme val="minor"/>
    </font>
    <font>
      <sz val="12"/>
      <color rgb="FFFF0000"/>
      <name val="Arial"/>
      <family val="2"/>
    </font>
    <font>
      <sz val="12"/>
      <color rgb="FFFF0000"/>
      <name val="Arial (Body)"/>
    </font>
    <font>
      <sz val="12"/>
      <color rgb="FF000000"/>
      <name val="Arial (Body)"/>
    </font>
    <font>
      <sz val="10"/>
      <color theme="0"/>
      <name val="Arial (Body)"/>
    </font>
  </fonts>
  <fills count="13">
    <fill>
      <patternFill patternType="none"/>
    </fill>
    <fill>
      <patternFill patternType="gray125"/>
    </fill>
    <fill>
      <patternFill patternType="solid">
        <fgColor theme="7" tint="0.79998168889431442"/>
        <bgColor indexed="64"/>
      </patternFill>
    </fill>
    <fill>
      <patternFill patternType="solid">
        <fgColor theme="0"/>
        <bgColor indexed="64"/>
      </patternFill>
    </fill>
    <fill>
      <patternFill patternType="solid">
        <fgColor theme="5" tint="0.59999389629810485"/>
        <bgColor indexed="64"/>
      </patternFill>
    </fill>
    <fill>
      <patternFill patternType="solid">
        <fgColor theme="6"/>
        <bgColor indexed="64"/>
      </patternFill>
    </fill>
    <fill>
      <patternFill patternType="solid">
        <fgColor theme="6" tint="0.79998168889431442"/>
        <bgColor indexed="64"/>
      </patternFill>
    </fill>
    <fill>
      <patternFill patternType="solid">
        <fgColor rgb="FFFFC7CE"/>
      </patternFill>
    </fill>
    <fill>
      <patternFill patternType="solid">
        <fgColor theme="0" tint="-0.14999847407452621"/>
        <bgColor indexed="64"/>
      </patternFill>
    </fill>
    <fill>
      <patternFill patternType="solid">
        <fgColor theme="2"/>
        <bgColor indexed="64"/>
      </patternFill>
    </fill>
    <fill>
      <patternFill patternType="solid">
        <fgColor theme="5" tint="0.39997558519241921"/>
        <bgColor indexed="64"/>
      </patternFill>
    </fill>
    <fill>
      <patternFill patternType="solid">
        <fgColor rgb="FF0888B2"/>
        <bgColor indexed="64"/>
      </patternFill>
    </fill>
    <fill>
      <patternFill patternType="solid">
        <fgColor theme="6" tint="0.59999389629810485"/>
        <bgColor indexed="64"/>
      </patternFill>
    </fill>
  </fills>
  <borders count="50">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bottom style="thin">
        <color auto="1"/>
      </bottom>
      <diagonal/>
    </border>
    <border>
      <left/>
      <right/>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medium">
        <color auto="1"/>
      </right>
      <top style="medium">
        <color auto="1"/>
      </top>
      <bottom style="medium">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right/>
      <top/>
      <bottom style="mediumDashed">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auto="1"/>
      </left>
      <right style="medium">
        <color auto="1"/>
      </right>
      <top style="medium">
        <color auto="1"/>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right/>
      <top style="thin">
        <color indexed="64"/>
      </top>
      <bottom style="medium">
        <color indexed="64"/>
      </bottom>
      <diagonal/>
    </border>
    <border>
      <left style="medium">
        <color auto="1"/>
      </left>
      <right style="thin">
        <color auto="1"/>
      </right>
      <top/>
      <bottom style="thin">
        <color auto="1"/>
      </bottom>
      <diagonal/>
    </border>
    <border>
      <left style="thin">
        <color auto="1"/>
      </left>
      <right style="thin">
        <color auto="1"/>
      </right>
      <top style="medium">
        <color auto="1"/>
      </top>
      <bottom style="medium">
        <color indexed="64"/>
      </bottom>
      <diagonal/>
    </border>
    <border>
      <left style="medium">
        <color auto="1"/>
      </left>
      <right style="thin">
        <color auto="1"/>
      </right>
      <top style="medium">
        <color auto="1"/>
      </top>
      <bottom style="medium">
        <color indexed="64"/>
      </bottom>
      <diagonal/>
    </border>
    <border>
      <left style="thin">
        <color auto="1"/>
      </left>
      <right style="medium">
        <color auto="1"/>
      </right>
      <top style="medium">
        <color auto="1"/>
      </top>
      <bottom style="medium">
        <color indexed="64"/>
      </bottom>
      <diagonal/>
    </border>
    <border>
      <left style="thin">
        <color theme="2" tint="-0.34998626667073579"/>
      </left>
      <right style="thin">
        <color indexed="64"/>
      </right>
      <top style="thin">
        <color indexed="64"/>
      </top>
      <bottom style="thin">
        <color indexed="64"/>
      </bottom>
      <diagonal/>
    </border>
    <border>
      <left style="medium">
        <color indexed="64"/>
      </left>
      <right/>
      <top style="thin">
        <color auto="1"/>
      </top>
      <bottom/>
      <diagonal/>
    </border>
    <border>
      <left style="medium">
        <color indexed="64"/>
      </left>
      <right/>
      <top style="thin">
        <color auto="1"/>
      </top>
      <bottom style="thin">
        <color auto="1"/>
      </bottom>
      <diagonal/>
    </border>
    <border>
      <left style="medium">
        <color indexed="64"/>
      </left>
      <right style="medium">
        <color indexed="64"/>
      </right>
      <top style="medium">
        <color indexed="64"/>
      </top>
      <bottom/>
      <diagonal/>
    </border>
    <border>
      <left style="medium">
        <color indexed="64"/>
      </left>
      <right style="medium">
        <color indexed="64"/>
      </right>
      <top style="thin">
        <color auto="1"/>
      </top>
      <bottom style="medium">
        <color indexed="64"/>
      </bottom>
      <diagonal/>
    </border>
    <border>
      <left style="thin">
        <color theme="2" tint="-0.34998626667073579"/>
      </left>
      <right style="thin">
        <color theme="2" tint="-0.34998626667073579"/>
      </right>
      <top/>
      <bottom style="medium">
        <color indexed="64"/>
      </bottom>
      <diagonal/>
    </border>
  </borders>
  <cellStyleXfs count="6">
    <xf numFmtId="0" fontId="0" fillId="0" borderId="0"/>
    <xf numFmtId="41" fontId="26" fillId="0" borderId="0" applyFont="0" applyFill="0" applyBorder="0" applyAlignment="0" applyProtection="0"/>
    <xf numFmtId="0" fontId="27" fillId="7" borderId="0" applyNumberFormat="0" applyBorder="0" applyAlignment="0" applyProtection="0"/>
    <xf numFmtId="0" fontId="28" fillId="0" borderId="0"/>
    <xf numFmtId="0" fontId="29" fillId="0" borderId="0">
      <alignment vertical="center"/>
    </xf>
    <xf numFmtId="43" fontId="2" fillId="0" borderId="0" applyFont="0" applyFill="0" applyBorder="0" applyAlignment="0" applyProtection="0"/>
  </cellStyleXfs>
  <cellXfs count="424">
    <xf numFmtId="0" fontId="0" fillId="0" borderId="0" xfId="0"/>
    <xf numFmtId="0" fontId="11" fillId="3" borderId="11" xfId="0" applyFont="1" applyFill="1" applyBorder="1" applyAlignment="1" applyProtection="1">
      <alignment horizontal="left" vertical="center"/>
      <protection locked="0"/>
    </xf>
    <xf numFmtId="0" fontId="11" fillId="3" borderId="40" xfId="0" applyFont="1" applyFill="1" applyBorder="1" applyAlignment="1" applyProtection="1">
      <alignment horizontal="left" vertical="center"/>
      <protection locked="0"/>
    </xf>
    <xf numFmtId="0" fontId="11" fillId="3" borderId="16" xfId="0" applyFont="1" applyFill="1" applyBorder="1" applyAlignment="1" applyProtection="1">
      <alignment horizontal="left" vertical="center"/>
      <protection locked="0"/>
    </xf>
    <xf numFmtId="0" fontId="8" fillId="0" borderId="0" xfId="0" applyFont="1" applyAlignment="1">
      <alignment horizontal="left"/>
    </xf>
    <xf numFmtId="2" fontId="9" fillId="0" borderId="0" xfId="0" applyNumberFormat="1" applyFont="1" applyAlignment="1">
      <alignment horizontal="right"/>
    </xf>
    <xf numFmtId="164" fontId="14" fillId="4" borderId="27" xfId="0" applyNumberFormat="1" applyFont="1" applyFill="1" applyBorder="1" applyAlignment="1" applyProtection="1">
      <alignment horizontal="right" vertical="center"/>
      <protection locked="0"/>
    </xf>
    <xf numFmtId="1" fontId="14" fillId="4" borderId="30" xfId="0" applyNumberFormat="1" applyFont="1" applyFill="1" applyBorder="1" applyAlignment="1" applyProtection="1">
      <alignment horizontal="right" vertical="center"/>
      <protection locked="0"/>
    </xf>
    <xf numFmtId="164" fontId="14" fillId="4" borderId="32" xfId="0" applyNumberFormat="1" applyFont="1" applyFill="1" applyBorder="1" applyAlignment="1" applyProtection="1">
      <alignment horizontal="right" vertical="center"/>
      <protection locked="0"/>
    </xf>
    <xf numFmtId="164" fontId="14" fillId="4" borderId="25" xfId="0" applyNumberFormat="1" applyFont="1" applyFill="1" applyBorder="1" applyAlignment="1" applyProtection="1">
      <alignment horizontal="right" vertical="center"/>
      <protection locked="0"/>
    </xf>
    <xf numFmtId="164" fontId="14" fillId="4" borderId="30" xfId="0" applyNumberFormat="1" applyFont="1" applyFill="1" applyBorder="1" applyAlignment="1" applyProtection="1">
      <alignment horizontal="right" vertical="center"/>
      <protection locked="0"/>
    </xf>
    <xf numFmtId="166" fontId="9" fillId="10" borderId="23" xfId="0" applyNumberFormat="1" applyFont="1" applyFill="1" applyBorder="1" applyAlignment="1" applyProtection="1">
      <alignment horizontal="center"/>
      <protection locked="0"/>
    </xf>
    <xf numFmtId="0" fontId="31" fillId="8" borderId="23" xfId="0" applyFont="1" applyFill="1" applyBorder="1" applyProtection="1">
      <protection locked="0"/>
    </xf>
    <xf numFmtId="166" fontId="9" fillId="10" borderId="12" xfId="0" applyNumberFormat="1" applyFont="1" applyFill="1" applyBorder="1" applyAlignment="1" applyProtection="1">
      <alignment horizontal="center"/>
      <protection locked="0"/>
    </xf>
    <xf numFmtId="2" fontId="9" fillId="8" borderId="12" xfId="0" applyNumberFormat="1" applyFont="1" applyFill="1" applyBorder="1" applyAlignment="1" applyProtection="1">
      <alignment horizontal="center"/>
      <protection locked="0"/>
    </xf>
    <xf numFmtId="166" fontId="9" fillId="10" borderId="17" xfId="0" applyNumberFormat="1" applyFont="1" applyFill="1" applyBorder="1" applyAlignment="1" applyProtection="1">
      <alignment horizontal="center"/>
      <protection locked="0"/>
    </xf>
    <xf numFmtId="2" fontId="9" fillId="8" borderId="17" xfId="0" applyNumberFormat="1" applyFont="1" applyFill="1" applyBorder="1" applyAlignment="1" applyProtection="1">
      <alignment horizontal="center"/>
      <protection locked="0"/>
    </xf>
    <xf numFmtId="2" fontId="9" fillId="8" borderId="23" xfId="0" applyNumberFormat="1" applyFont="1" applyFill="1" applyBorder="1" applyAlignment="1" applyProtection="1">
      <alignment horizontal="center"/>
      <protection locked="0"/>
    </xf>
    <xf numFmtId="2" fontId="9" fillId="10" borderId="23" xfId="0" applyNumberFormat="1" applyFont="1" applyFill="1" applyBorder="1" applyAlignment="1" applyProtection="1">
      <alignment horizontal="center"/>
      <protection locked="0"/>
    </xf>
    <xf numFmtId="2" fontId="9" fillId="10" borderId="12" xfId="0" applyNumberFormat="1" applyFont="1" applyFill="1" applyBorder="1" applyAlignment="1" applyProtection="1">
      <alignment horizontal="center"/>
      <protection locked="0"/>
    </xf>
    <xf numFmtId="2" fontId="10" fillId="8" borderId="23" xfId="0" applyNumberFormat="1" applyFont="1" applyFill="1" applyBorder="1" applyAlignment="1" applyProtection="1">
      <alignment horizontal="center" vertical="center" wrapText="1"/>
      <protection locked="0"/>
    </xf>
    <xf numFmtId="2" fontId="10" fillId="8" borderId="12" xfId="0" applyNumberFormat="1" applyFont="1" applyFill="1" applyBorder="1" applyAlignment="1" applyProtection="1">
      <alignment horizontal="center" vertical="center" wrapText="1"/>
      <protection locked="0"/>
    </xf>
    <xf numFmtId="2" fontId="35" fillId="8" borderId="12" xfId="2" applyNumberFormat="1" applyFont="1" applyFill="1" applyBorder="1" applyAlignment="1" applyProtection="1">
      <alignment horizontal="center" vertical="center" wrapText="1"/>
      <protection locked="0"/>
    </xf>
    <xf numFmtId="2" fontId="10" fillId="8" borderId="17" xfId="0" applyNumberFormat="1" applyFont="1" applyFill="1" applyBorder="1" applyAlignment="1" applyProtection="1">
      <alignment horizontal="center" vertical="center" wrapText="1"/>
      <protection locked="0"/>
    </xf>
    <xf numFmtId="0" fontId="30" fillId="0" borderId="0" xfId="0" applyFont="1"/>
    <xf numFmtId="0" fontId="7" fillId="0" borderId="0" xfId="0" applyFont="1"/>
    <xf numFmtId="1" fontId="7" fillId="0" borderId="0" xfId="0" applyNumberFormat="1" applyFont="1" applyAlignment="1">
      <alignment horizontal="center" vertical="center"/>
    </xf>
    <xf numFmtId="167" fontId="7" fillId="0" borderId="0" xfId="0" applyNumberFormat="1" applyFont="1"/>
    <xf numFmtId="0" fontId="30" fillId="0" borderId="0" xfId="0" applyFont="1" applyAlignment="1">
      <alignment horizontal="left"/>
    </xf>
    <xf numFmtId="0" fontId="5" fillId="0" borderId="0" xfId="0" applyFont="1"/>
    <xf numFmtId="0" fontId="7" fillId="0" borderId="0" xfId="0" applyFont="1" applyAlignment="1">
      <alignment horizontal="left"/>
    </xf>
    <xf numFmtId="1" fontId="7" fillId="0" borderId="0" xfId="0" applyNumberFormat="1" applyFont="1" applyAlignment="1">
      <alignment horizontal="left"/>
    </xf>
    <xf numFmtId="167" fontId="7" fillId="0" borderId="0" xfId="0" applyNumberFormat="1" applyFont="1" applyAlignment="1">
      <alignment horizontal="left"/>
    </xf>
    <xf numFmtId="1" fontId="30" fillId="0" borderId="0" xfId="0" applyNumberFormat="1" applyFont="1" applyAlignment="1">
      <alignment horizontal="center" vertical="center"/>
    </xf>
    <xf numFmtId="0" fontId="4" fillId="5" borderId="6" xfId="0" applyFont="1" applyFill="1" applyBorder="1" applyAlignment="1">
      <alignment horizontal="center" vertical="center" wrapText="1"/>
    </xf>
    <xf numFmtId="0" fontId="4" fillId="5" borderId="41" xfId="0" applyFont="1" applyFill="1" applyBorder="1" applyAlignment="1">
      <alignment horizontal="center" vertical="center" wrapText="1"/>
    </xf>
    <xf numFmtId="1" fontId="4" fillId="5" borderId="7" xfId="0" applyNumberFormat="1" applyFont="1" applyFill="1" applyBorder="1" applyAlignment="1">
      <alignment horizontal="center" vertical="center" wrapText="1"/>
    </xf>
    <xf numFmtId="167" fontId="4" fillId="5" borderId="7" xfId="0" applyNumberFormat="1" applyFont="1" applyFill="1" applyBorder="1" applyAlignment="1">
      <alignment horizontal="center" vertical="center" wrapText="1"/>
    </xf>
    <xf numFmtId="167" fontId="4" fillId="5" borderId="36" xfId="0" applyNumberFormat="1" applyFont="1" applyFill="1" applyBorder="1" applyAlignment="1">
      <alignment horizontal="center" vertical="center" wrapText="1"/>
    </xf>
    <xf numFmtId="0" fontId="6" fillId="0" borderId="20" xfId="0" applyFont="1" applyBorder="1" applyAlignment="1">
      <alignment horizontal="center" vertical="center" wrapText="1"/>
    </xf>
    <xf numFmtId="0" fontId="6" fillId="0" borderId="0" xfId="0" applyFont="1" applyAlignment="1">
      <alignment horizontal="center" wrapText="1"/>
    </xf>
    <xf numFmtId="0" fontId="30" fillId="0" borderId="0" xfId="0" applyFont="1" applyAlignment="1">
      <alignment horizontal="center"/>
    </xf>
    <xf numFmtId="167" fontId="30" fillId="0" borderId="0" xfId="0" applyNumberFormat="1" applyFont="1"/>
    <xf numFmtId="0" fontId="25" fillId="0" borderId="0" xfId="0" applyFont="1"/>
    <xf numFmtId="0" fontId="30" fillId="0" borderId="0" xfId="0" applyFont="1" applyAlignment="1">
      <alignment vertical="center" wrapText="1"/>
    </xf>
    <xf numFmtId="0" fontId="30" fillId="0" borderId="0" xfId="0" applyFont="1" applyAlignment="1">
      <alignment horizontal="left" vertical="center" wrapText="1"/>
    </xf>
    <xf numFmtId="0" fontId="9" fillId="0" borderId="0" xfId="0" applyFont="1"/>
    <xf numFmtId="0" fontId="5" fillId="0" borderId="0" xfId="0" applyFont="1" applyAlignment="1">
      <alignment horizontal="left"/>
    </xf>
    <xf numFmtId="164" fontId="9" fillId="0" borderId="0" xfId="0" applyNumberFormat="1" applyFont="1"/>
    <xf numFmtId="1" fontId="9" fillId="0" borderId="0" xfId="0" applyNumberFormat="1" applyFont="1"/>
    <xf numFmtId="2" fontId="9" fillId="0" borderId="0" xfId="0" applyNumberFormat="1" applyFont="1"/>
    <xf numFmtId="0" fontId="10" fillId="0" borderId="0" xfId="0" applyFont="1" applyAlignment="1">
      <alignment horizontal="left"/>
    </xf>
    <xf numFmtId="1" fontId="10" fillId="0" borderId="0" xfId="0" applyNumberFormat="1" applyFont="1" applyAlignment="1">
      <alignment horizontal="left"/>
    </xf>
    <xf numFmtId="164" fontId="10" fillId="0" borderId="0" xfId="0" applyNumberFormat="1" applyFont="1" applyAlignment="1">
      <alignment horizontal="left"/>
    </xf>
    <xf numFmtId="2" fontId="10" fillId="0" borderId="0" xfId="0" applyNumberFormat="1" applyFont="1" applyAlignment="1">
      <alignment horizontal="left"/>
    </xf>
    <xf numFmtId="0" fontId="4" fillId="5" borderId="42" xfId="0" applyFont="1" applyFill="1" applyBorder="1" applyAlignment="1">
      <alignment horizontal="center" vertical="center" wrapText="1"/>
    </xf>
    <xf numFmtId="164" fontId="4" fillId="5" borderId="41" xfId="0" applyNumberFormat="1" applyFont="1" applyFill="1" applyBorder="1" applyAlignment="1">
      <alignment horizontal="center" vertical="center" wrapText="1"/>
    </xf>
    <xf numFmtId="1" fontId="4" fillId="5" borderId="41" xfId="0" applyNumberFormat="1" applyFont="1" applyFill="1" applyBorder="1" applyAlignment="1">
      <alignment horizontal="center" vertical="center" wrapText="1"/>
    </xf>
    <xf numFmtId="2" fontId="4" fillId="5" borderId="43" xfId="0" applyNumberFormat="1" applyFont="1" applyFill="1" applyBorder="1" applyAlignment="1">
      <alignment horizontal="center" vertical="center" wrapText="1"/>
    </xf>
    <xf numFmtId="2" fontId="9" fillId="6" borderId="13" xfId="0" applyNumberFormat="1" applyFont="1" applyFill="1" applyBorder="1" applyAlignment="1">
      <alignment horizontal="right" vertical="center"/>
    </xf>
    <xf numFmtId="0" fontId="4" fillId="11" borderId="47" xfId="0" applyFont="1" applyFill="1" applyBorder="1" applyAlignment="1">
      <alignment horizontal="center" vertical="center"/>
    </xf>
    <xf numFmtId="0" fontId="3" fillId="0" borderId="0" xfId="0" applyFont="1"/>
    <xf numFmtId="2" fontId="9" fillId="6" borderId="15" xfId="0" applyNumberFormat="1" applyFont="1" applyFill="1" applyBorder="1" applyAlignment="1">
      <alignment horizontal="right" vertical="center"/>
    </xf>
    <xf numFmtId="164" fontId="11" fillId="6" borderId="48" xfId="0" applyNumberFormat="1" applyFont="1" applyFill="1" applyBorder="1" applyAlignment="1">
      <alignment horizontal="center" vertical="center"/>
    </xf>
    <xf numFmtId="0" fontId="9" fillId="0" borderId="0" xfId="0" applyFont="1" applyAlignment="1">
      <alignment horizontal="center" vertical="center"/>
    </xf>
    <xf numFmtId="0" fontId="4" fillId="5" borderId="47" xfId="0" applyFont="1" applyFill="1" applyBorder="1" applyAlignment="1">
      <alignment horizontal="center" vertical="center"/>
    </xf>
    <xf numFmtId="164" fontId="6" fillId="6" borderId="48" xfId="0" applyNumberFormat="1" applyFont="1" applyFill="1" applyBorder="1" applyAlignment="1">
      <alignment horizontal="center" vertical="center"/>
    </xf>
    <xf numFmtId="2" fontId="9" fillId="6" borderId="18" xfId="0" applyNumberFormat="1" applyFont="1" applyFill="1" applyBorder="1" applyAlignment="1">
      <alignment horizontal="right" vertical="center"/>
    </xf>
    <xf numFmtId="0" fontId="6" fillId="0" borderId="0" xfId="0" applyFont="1" applyAlignment="1">
      <alignment horizontal="center"/>
    </xf>
    <xf numFmtId="0" fontId="6" fillId="0" borderId="0" xfId="0" applyFont="1" applyAlignment="1">
      <alignment horizontal="left"/>
    </xf>
    <xf numFmtId="0" fontId="7" fillId="0" borderId="0" xfId="0" applyFont="1" applyAlignment="1">
      <alignment horizontal="center"/>
    </xf>
    <xf numFmtId="3" fontId="4" fillId="5" borderId="7" xfId="0" applyNumberFormat="1" applyFont="1" applyFill="1" applyBorder="1" applyAlignment="1">
      <alignment horizontal="center" vertical="center" wrapText="1"/>
    </xf>
    <xf numFmtId="0" fontId="7" fillId="0" borderId="0" xfId="0" applyFont="1" applyAlignment="1">
      <alignment horizontal="center" vertical="center"/>
    </xf>
    <xf numFmtId="0" fontId="6" fillId="0" borderId="0" xfId="0" applyFont="1"/>
    <xf numFmtId="0" fontId="4" fillId="5" borderId="41" xfId="0" applyFont="1" applyFill="1" applyBorder="1" applyAlignment="1">
      <alignment horizontal="center" vertical="center"/>
    </xf>
    <xf numFmtId="0" fontId="4" fillId="5" borderId="43" xfId="0" applyFont="1" applyFill="1" applyBorder="1" applyAlignment="1">
      <alignment horizontal="center" vertical="center"/>
    </xf>
    <xf numFmtId="0" fontId="9" fillId="0" borderId="23" xfId="0" applyFont="1" applyBorder="1" applyAlignment="1">
      <alignment horizontal="left"/>
    </xf>
    <xf numFmtId="0" fontId="31" fillId="0" borderId="13" xfId="0" quotePrefix="1" applyFont="1" applyBorder="1" applyAlignment="1">
      <alignment horizontal="center"/>
    </xf>
    <xf numFmtId="0" fontId="9" fillId="0" borderId="12" xfId="0" applyFont="1" applyBorder="1" applyAlignment="1">
      <alignment horizontal="left"/>
    </xf>
    <xf numFmtId="0" fontId="31" fillId="0" borderId="15" xfId="0" applyFont="1" applyBorder="1"/>
    <xf numFmtId="0" fontId="9" fillId="0" borderId="17" xfId="0" applyFont="1" applyBorder="1" applyAlignment="1">
      <alignment horizontal="left"/>
    </xf>
    <xf numFmtId="0" fontId="31" fillId="0" borderId="15" xfId="0" applyFont="1" applyBorder="1" applyAlignment="1">
      <alignment horizontal="center"/>
    </xf>
    <xf numFmtId="0" fontId="31" fillId="0" borderId="18" xfId="0" applyFont="1" applyBorder="1" applyAlignment="1">
      <alignment horizontal="center"/>
    </xf>
    <xf numFmtId="0" fontId="9" fillId="0" borderId="0" xfId="0" applyFont="1" applyAlignment="1">
      <alignment horizontal="right"/>
    </xf>
    <xf numFmtId="2" fontId="9" fillId="0" borderId="0" xfId="0" applyNumberFormat="1" applyFont="1" applyAlignment="1">
      <alignment horizontal="right" vertical="center"/>
    </xf>
    <xf numFmtId="164" fontId="9" fillId="0" borderId="0" xfId="0" applyNumberFormat="1" applyFont="1" applyAlignment="1">
      <alignment horizontal="right"/>
    </xf>
    <xf numFmtId="0" fontId="20" fillId="0" borderId="0" xfId="0" applyFont="1" applyAlignment="1">
      <alignment wrapText="1"/>
    </xf>
    <xf numFmtId="0" fontId="9" fillId="0" borderId="1" xfId="0" applyFont="1" applyBorder="1"/>
    <xf numFmtId="0" fontId="9" fillId="0" borderId="2" xfId="0" applyFont="1" applyBorder="1"/>
    <xf numFmtId="0" fontId="9" fillId="0" borderId="2" xfId="0" applyFont="1" applyBorder="1" applyAlignment="1">
      <alignment horizontal="center"/>
    </xf>
    <xf numFmtId="0" fontId="5" fillId="0" borderId="2" xfId="0" applyFont="1" applyBorder="1" applyAlignment="1">
      <alignment horizontal="left"/>
    </xf>
    <xf numFmtId="0" fontId="9" fillId="0" borderId="3" xfId="0" applyFont="1" applyBorder="1"/>
    <xf numFmtId="0" fontId="4" fillId="5" borderId="11" xfId="0" applyFont="1" applyFill="1" applyBorder="1" applyAlignment="1">
      <alignment horizontal="center" vertical="center"/>
    </xf>
    <xf numFmtId="0" fontId="4" fillId="5" borderId="12" xfId="0" applyFont="1" applyFill="1" applyBorder="1" applyAlignment="1">
      <alignment horizontal="center" vertical="center"/>
    </xf>
    <xf numFmtId="0" fontId="10" fillId="0" borderId="5" xfId="4" applyFont="1" applyBorder="1" applyAlignment="1">
      <alignment horizontal="center" vertical="center"/>
    </xf>
    <xf numFmtId="0" fontId="32" fillId="0" borderId="11" xfId="0" applyFont="1" applyBorder="1" applyAlignment="1">
      <alignment horizontal="center"/>
    </xf>
    <xf numFmtId="1" fontId="40" fillId="0" borderId="12" xfId="1" applyNumberFormat="1" applyFont="1" applyBorder="1" applyAlignment="1" applyProtection="1">
      <alignment horizontal="center"/>
    </xf>
    <xf numFmtId="2" fontId="6" fillId="0" borderId="12" xfId="0" applyNumberFormat="1" applyFont="1" applyBorder="1" applyAlignment="1">
      <alignment horizontal="center"/>
    </xf>
    <xf numFmtId="2" fontId="33" fillId="0" borderId="12" xfId="0" applyNumberFormat="1" applyFont="1" applyBorder="1" applyAlignment="1">
      <alignment horizontal="center"/>
    </xf>
    <xf numFmtId="2" fontId="10" fillId="0" borderId="12" xfId="0" applyNumberFormat="1" applyFont="1" applyBorder="1" applyAlignment="1">
      <alignment horizontal="center"/>
    </xf>
    <xf numFmtId="164" fontId="40" fillId="0" borderId="12" xfId="1" applyNumberFormat="1" applyFont="1" applyBorder="1" applyAlignment="1" applyProtection="1">
      <alignment horizontal="center"/>
    </xf>
    <xf numFmtId="2" fontId="40" fillId="0" borderId="12" xfId="1" applyNumberFormat="1" applyFont="1" applyBorder="1" applyAlignment="1" applyProtection="1">
      <alignment horizontal="center"/>
    </xf>
    <xf numFmtId="166" fontId="40" fillId="0" borderId="12" xfId="1" applyNumberFormat="1" applyFont="1" applyBorder="1" applyAlignment="1" applyProtection="1">
      <alignment horizontal="center"/>
    </xf>
    <xf numFmtId="165" fontId="40" fillId="0" borderId="12" xfId="1" applyNumberFormat="1" applyFont="1" applyBorder="1" applyAlignment="1" applyProtection="1">
      <alignment horizontal="center"/>
    </xf>
    <xf numFmtId="0" fontId="9" fillId="0" borderId="5" xfId="0" applyFont="1" applyBorder="1"/>
    <xf numFmtId="2" fontId="10" fillId="0" borderId="25" xfId="0" applyNumberFormat="1" applyFont="1" applyBorder="1"/>
    <xf numFmtId="0" fontId="9" fillId="0" borderId="0" xfId="0" applyFont="1" applyAlignment="1">
      <alignment horizontal="center"/>
    </xf>
    <xf numFmtId="0" fontId="34" fillId="0" borderId="0" xfId="0" applyFont="1"/>
    <xf numFmtId="0" fontId="30" fillId="0" borderId="0" xfId="0" applyFont="1" applyAlignment="1">
      <alignment horizontal="center" vertical="center"/>
    </xf>
    <xf numFmtId="0" fontId="41" fillId="0" borderId="0" xfId="0" applyFont="1"/>
    <xf numFmtId="0" fontId="31" fillId="0" borderId="0" xfId="0" applyFont="1"/>
    <xf numFmtId="0" fontId="4" fillId="5" borderId="43" xfId="0" applyFont="1" applyFill="1" applyBorder="1" applyAlignment="1">
      <alignment horizontal="center" vertical="center" wrapText="1"/>
    </xf>
    <xf numFmtId="0" fontId="31" fillId="0" borderId="20" xfId="0" applyFont="1" applyBorder="1"/>
    <xf numFmtId="0" fontId="31" fillId="0" borderId="0" xfId="0" applyFont="1" applyAlignment="1">
      <alignment shrinkToFit="1"/>
    </xf>
    <xf numFmtId="0" fontId="31" fillId="0" borderId="39" xfId="0" applyFont="1" applyBorder="1"/>
    <xf numFmtId="0" fontId="35" fillId="0" borderId="0" xfId="2" applyFont="1" applyFill="1" applyBorder="1" applyProtection="1"/>
    <xf numFmtId="3" fontId="35" fillId="0" borderId="0" xfId="2" applyNumberFormat="1" applyFont="1" applyFill="1" applyBorder="1" applyProtection="1"/>
    <xf numFmtId="0" fontId="35" fillId="0" borderId="0" xfId="2" applyFont="1" applyFill="1" applyProtection="1"/>
    <xf numFmtId="1" fontId="9" fillId="3" borderId="23" xfId="0" applyNumberFormat="1" applyFont="1" applyFill="1" applyBorder="1" applyAlignment="1" applyProtection="1">
      <alignment horizontal="right" vertical="center"/>
      <protection locked="0"/>
    </xf>
    <xf numFmtId="1" fontId="9" fillId="3" borderId="12" xfId="0" applyNumberFormat="1" applyFont="1" applyFill="1" applyBorder="1" applyAlignment="1" applyProtection="1">
      <alignment horizontal="right" vertical="center"/>
      <protection locked="0"/>
    </xf>
    <xf numFmtId="1" fontId="9" fillId="3" borderId="17" xfId="0" applyNumberFormat="1" applyFont="1" applyFill="1" applyBorder="1" applyAlignment="1" applyProtection="1">
      <alignment horizontal="right" vertical="center"/>
      <protection locked="0"/>
    </xf>
    <xf numFmtId="0" fontId="18" fillId="0" borderId="0" xfId="0" applyFont="1"/>
    <xf numFmtId="0" fontId="41" fillId="0" borderId="0" xfId="0" applyFont="1" applyAlignment="1">
      <alignment horizontal="center" vertical="center"/>
    </xf>
    <xf numFmtId="0" fontId="41" fillId="0" borderId="0" xfId="0" applyFont="1" applyAlignment="1">
      <alignment vertical="center"/>
    </xf>
    <xf numFmtId="0" fontId="18" fillId="0" borderId="0" xfId="0" applyFont="1" applyAlignment="1">
      <alignment horizontal="center" vertical="center"/>
    </xf>
    <xf numFmtId="0" fontId="18" fillId="0" borderId="0" xfId="0" applyFont="1" applyAlignment="1">
      <alignment vertical="center"/>
    </xf>
    <xf numFmtId="0" fontId="12" fillId="0" borderId="0" xfId="0" applyFont="1"/>
    <xf numFmtId="0" fontId="19" fillId="0" borderId="0" xfId="0" applyFont="1" applyAlignment="1">
      <alignment vertical="center"/>
    </xf>
    <xf numFmtId="0" fontId="23" fillId="5" borderId="34" xfId="0" applyFont="1" applyFill="1" applyBorder="1" applyAlignment="1">
      <alignment vertical="center"/>
    </xf>
    <xf numFmtId="0" fontId="12" fillId="5" borderId="35" xfId="0" applyFont="1" applyFill="1" applyBorder="1" applyAlignment="1">
      <alignment vertical="center"/>
    </xf>
    <xf numFmtId="0" fontId="18" fillId="5" borderId="35" xfId="0" applyFont="1" applyFill="1" applyBorder="1" applyAlignment="1">
      <alignment vertical="center"/>
    </xf>
    <xf numFmtId="0" fontId="18" fillId="5" borderId="22" xfId="0" applyFont="1" applyFill="1" applyBorder="1" applyAlignment="1">
      <alignment vertical="center"/>
    </xf>
    <xf numFmtId="0" fontId="12" fillId="10" borderId="4" xfId="0" applyFont="1" applyFill="1" applyBorder="1" applyAlignment="1">
      <alignment vertical="center"/>
    </xf>
    <xf numFmtId="0" fontId="18" fillId="10" borderId="0" xfId="0" applyFont="1" applyFill="1" applyAlignment="1">
      <alignment horizontal="center" vertical="center"/>
    </xf>
    <xf numFmtId="0" fontId="19" fillId="10" borderId="0" xfId="0" applyFont="1" applyFill="1" applyAlignment="1">
      <alignment vertical="center"/>
    </xf>
    <xf numFmtId="0" fontId="18" fillId="10" borderId="0" xfId="0" applyFont="1" applyFill="1" applyAlignment="1">
      <alignment vertical="center"/>
    </xf>
    <xf numFmtId="0" fontId="18" fillId="10" borderId="5" xfId="0" applyFont="1" applyFill="1" applyBorder="1" applyAlignment="1">
      <alignment vertical="center"/>
    </xf>
    <xf numFmtId="0" fontId="18" fillId="0" borderId="1" xfId="0" applyFont="1" applyBorder="1" applyAlignment="1">
      <alignment vertical="center"/>
    </xf>
    <xf numFmtId="0" fontId="18" fillId="0" borderId="2" xfId="0" applyFont="1" applyBorder="1" applyAlignment="1">
      <alignment vertical="center"/>
    </xf>
    <xf numFmtId="0" fontId="18" fillId="0" borderId="3" xfId="0" applyFont="1" applyBorder="1" applyAlignment="1">
      <alignment vertical="center"/>
    </xf>
    <xf numFmtId="0" fontId="18" fillId="10" borderId="4" xfId="0" applyFont="1" applyFill="1" applyBorder="1"/>
    <xf numFmtId="0" fontId="18" fillId="10" borderId="0" xfId="0" applyFont="1" applyFill="1"/>
    <xf numFmtId="0" fontId="12" fillId="10" borderId="0" xfId="0" applyFont="1" applyFill="1"/>
    <xf numFmtId="0" fontId="18" fillId="10" borderId="5" xfId="0" applyFont="1" applyFill="1" applyBorder="1"/>
    <xf numFmtId="0" fontId="18" fillId="0" borderId="4" xfId="0" applyFont="1" applyBorder="1"/>
    <xf numFmtId="0" fontId="12" fillId="0" borderId="0" xfId="0" applyFont="1" applyAlignment="1">
      <alignment vertical="center"/>
    </xf>
    <xf numFmtId="0" fontId="12" fillId="0" borderId="0" xfId="0" applyFont="1" applyAlignment="1">
      <alignment horizontal="right" vertical="center"/>
    </xf>
    <xf numFmtId="0" fontId="18" fillId="0" borderId="5" xfId="0" applyFont="1" applyBorder="1"/>
    <xf numFmtId="0" fontId="18" fillId="10" borderId="4" xfId="0" applyFont="1" applyFill="1" applyBorder="1" applyAlignment="1">
      <alignment vertical="center"/>
    </xf>
    <xf numFmtId="0" fontId="15" fillId="0" borderId="24" xfId="0" applyFont="1" applyBorder="1" applyAlignment="1">
      <alignment horizontal="left" vertical="center"/>
    </xf>
    <xf numFmtId="164" fontId="14" fillId="10" borderId="0" xfId="0" applyNumberFormat="1" applyFont="1" applyFill="1" applyAlignment="1">
      <alignment horizontal="center" vertical="center"/>
    </xf>
    <xf numFmtId="0" fontId="18" fillId="0" borderId="4" xfId="0" applyFont="1" applyBorder="1" applyAlignment="1">
      <alignment vertical="center"/>
    </xf>
    <xf numFmtId="0" fontId="18" fillId="0" borderId="26" xfId="0" applyFont="1" applyBorder="1" applyAlignment="1">
      <alignment horizontal="left" vertical="center"/>
    </xf>
    <xf numFmtId="0" fontId="18" fillId="0" borderId="28" xfId="0" applyFont="1" applyBorder="1" applyAlignment="1">
      <alignment horizontal="left" vertical="center"/>
    </xf>
    <xf numFmtId="49" fontId="18" fillId="6" borderId="27" xfId="0" applyNumberFormat="1" applyFont="1" applyFill="1" applyBorder="1" applyAlignment="1">
      <alignment horizontal="right" vertical="center"/>
    </xf>
    <xf numFmtId="0" fontId="14" fillId="10" borderId="0" xfId="0" applyFont="1" applyFill="1" applyAlignment="1">
      <alignment horizontal="left" vertical="center"/>
    </xf>
    <xf numFmtId="164" fontId="14" fillId="10" borderId="0" xfId="0" applyNumberFormat="1" applyFont="1" applyFill="1" applyAlignment="1">
      <alignment horizontal="right" vertical="center"/>
    </xf>
    <xf numFmtId="49" fontId="18" fillId="6" borderId="32" xfId="0" applyNumberFormat="1" applyFont="1" applyFill="1" applyBorder="1" applyAlignment="1">
      <alignment horizontal="right" vertical="center"/>
    </xf>
    <xf numFmtId="49" fontId="12" fillId="10" borderId="0" xfId="0" applyNumberFormat="1" applyFont="1" applyFill="1" applyAlignment="1">
      <alignment vertical="center"/>
    </xf>
    <xf numFmtId="49" fontId="18" fillId="10" borderId="0" xfId="0" applyNumberFormat="1" applyFont="1" applyFill="1" applyAlignment="1">
      <alignment horizontal="right" vertical="center"/>
    </xf>
    <xf numFmtId="49" fontId="18" fillId="10" borderId="0" xfId="0" applyNumberFormat="1" applyFont="1" applyFill="1" applyAlignment="1">
      <alignment vertical="center"/>
    </xf>
    <xf numFmtId="0" fontId="18" fillId="0" borderId="5" xfId="0" applyFont="1" applyBorder="1" applyAlignment="1">
      <alignment vertical="center"/>
    </xf>
    <xf numFmtId="0" fontId="15" fillId="0" borderId="31" xfId="0" applyFont="1" applyBorder="1" applyAlignment="1">
      <alignment horizontal="left" vertical="center"/>
    </xf>
    <xf numFmtId="0" fontId="17" fillId="0" borderId="0" xfId="0" applyFont="1" applyAlignment="1">
      <alignment vertical="center"/>
    </xf>
    <xf numFmtId="0" fontId="18" fillId="10" borderId="19" xfId="0" applyFont="1" applyFill="1" applyBorder="1"/>
    <xf numFmtId="0" fontId="18" fillId="10" borderId="20" xfId="0" applyFont="1" applyFill="1" applyBorder="1"/>
    <xf numFmtId="0" fontId="18" fillId="10" borderId="21" xfId="0" applyFont="1" applyFill="1" applyBorder="1"/>
    <xf numFmtId="0" fontId="18" fillId="0" borderId="19" xfId="0" applyFont="1" applyBorder="1" applyAlignment="1">
      <alignment vertical="center"/>
    </xf>
    <xf numFmtId="0" fontId="18" fillId="0" borderId="20" xfId="0" applyFont="1" applyBorder="1" applyAlignment="1">
      <alignment vertical="center"/>
    </xf>
    <xf numFmtId="0" fontId="18" fillId="0" borderId="21" xfId="0" applyFont="1" applyBorder="1" applyAlignment="1">
      <alignment vertical="center"/>
    </xf>
    <xf numFmtId="0" fontId="12" fillId="0" borderId="0" xfId="0" applyFont="1" applyAlignment="1">
      <alignment horizontal="left" vertical="center"/>
    </xf>
    <xf numFmtId="0" fontId="18" fillId="12" borderId="2" xfId="0" applyFont="1" applyFill="1" applyBorder="1" applyAlignment="1">
      <alignment vertical="center"/>
    </xf>
    <xf numFmtId="0" fontId="18" fillId="12" borderId="3" xfId="0" applyFont="1" applyFill="1" applyBorder="1" applyAlignment="1">
      <alignment vertical="center"/>
    </xf>
    <xf numFmtId="0" fontId="12" fillId="12" borderId="0" xfId="0" applyFont="1" applyFill="1" applyAlignment="1">
      <alignment horizontal="center" vertical="center"/>
    </xf>
    <xf numFmtId="0" fontId="12" fillId="12" borderId="0" xfId="0" applyFont="1" applyFill="1" applyAlignment="1">
      <alignment horizontal="left" vertical="center"/>
    </xf>
    <xf numFmtId="164" fontId="12" fillId="12" borderId="0" xfId="0" applyNumberFormat="1" applyFont="1" applyFill="1" applyAlignment="1">
      <alignment horizontal="center" vertical="center"/>
    </xf>
    <xf numFmtId="0" fontId="18" fillId="12" borderId="5" xfId="0" applyFont="1" applyFill="1" applyBorder="1" applyAlignment="1">
      <alignment vertical="center"/>
    </xf>
    <xf numFmtId="0" fontId="14" fillId="0" borderId="0" xfId="0" applyFont="1" applyAlignment="1">
      <alignment horizontal="right" vertical="center"/>
    </xf>
    <xf numFmtId="164" fontId="18" fillId="6" borderId="27" xfId="0" applyNumberFormat="1" applyFont="1" applyFill="1" applyBorder="1" applyAlignment="1">
      <alignment horizontal="right" vertical="center"/>
    </xf>
    <xf numFmtId="164" fontId="18" fillId="12" borderId="5" xfId="0" applyNumberFormat="1" applyFont="1" applyFill="1" applyBorder="1" applyAlignment="1">
      <alignment horizontal="center" vertical="center"/>
    </xf>
    <xf numFmtId="164" fontId="18" fillId="0" borderId="0" xfId="0" applyNumberFormat="1" applyFont="1" applyAlignment="1">
      <alignment horizontal="center" vertical="center"/>
    </xf>
    <xf numFmtId="2" fontId="18" fillId="0" borderId="26" xfId="0" applyNumberFormat="1" applyFont="1" applyBorder="1" applyAlignment="1">
      <alignment horizontal="left" vertical="center"/>
    </xf>
    <xf numFmtId="1" fontId="18" fillId="0" borderId="27" xfId="0" applyNumberFormat="1" applyFont="1" applyBorder="1" applyAlignment="1">
      <alignment horizontal="right" vertical="center"/>
    </xf>
    <xf numFmtId="11" fontId="18" fillId="0" borderId="27" xfId="0" applyNumberFormat="1" applyFont="1" applyBorder="1" applyAlignment="1">
      <alignment horizontal="right" vertical="center"/>
    </xf>
    <xf numFmtId="0" fontId="18" fillId="0" borderId="31" xfId="0" applyFont="1" applyBorder="1" applyAlignment="1">
      <alignment horizontal="left" vertical="center"/>
    </xf>
    <xf numFmtId="164" fontId="18" fillId="6" borderId="32" xfId="0" applyNumberFormat="1" applyFont="1" applyFill="1" applyBorder="1" applyAlignment="1">
      <alignment horizontal="right" vertical="center"/>
    </xf>
    <xf numFmtId="1" fontId="18" fillId="0" borderId="32" xfId="0" applyNumberFormat="1" applyFont="1" applyBorder="1" applyAlignment="1">
      <alignment horizontal="right" vertical="center"/>
    </xf>
    <xf numFmtId="11" fontId="18" fillId="0" borderId="30" xfId="0" applyNumberFormat="1" applyFont="1" applyBorder="1" applyAlignment="1">
      <alignment horizontal="right" vertical="center"/>
    </xf>
    <xf numFmtId="0" fontId="18" fillId="12" borderId="0" xfId="0" applyFont="1" applyFill="1" applyAlignment="1">
      <alignment horizontal="center" vertical="center"/>
    </xf>
    <xf numFmtId="0" fontId="18" fillId="12" borderId="0" xfId="0" applyFont="1" applyFill="1" applyAlignment="1">
      <alignment horizontal="right" vertical="center"/>
    </xf>
    <xf numFmtId="1" fontId="18" fillId="12" borderId="0" xfId="0" applyNumberFormat="1" applyFont="1" applyFill="1" applyAlignment="1">
      <alignment horizontal="right" vertical="center"/>
    </xf>
    <xf numFmtId="0" fontId="18" fillId="12" borderId="5" xfId="0" applyFont="1" applyFill="1" applyBorder="1" applyAlignment="1">
      <alignment horizontal="center" vertical="center"/>
    </xf>
    <xf numFmtId="11" fontId="18" fillId="0" borderId="32" xfId="0" applyNumberFormat="1" applyFont="1" applyBorder="1" applyAlignment="1">
      <alignment horizontal="right" vertical="center"/>
    </xf>
    <xf numFmtId="0" fontId="18" fillId="12" borderId="0" xfId="0" applyFont="1" applyFill="1" applyAlignment="1">
      <alignment vertical="center"/>
    </xf>
    <xf numFmtId="164" fontId="12" fillId="12" borderId="5" xfId="0" applyNumberFormat="1" applyFont="1" applyFill="1" applyBorder="1" applyAlignment="1">
      <alignment horizontal="center" vertical="center"/>
    </xf>
    <xf numFmtId="164" fontId="12" fillId="0" borderId="0" xfId="0" applyNumberFormat="1" applyFont="1" applyAlignment="1">
      <alignment horizontal="center" vertical="center"/>
    </xf>
    <xf numFmtId="0" fontId="18" fillId="0" borderId="27" xfId="0" applyFont="1" applyBorder="1" applyAlignment="1">
      <alignment horizontal="right" vertical="center"/>
    </xf>
    <xf numFmtId="0" fontId="18" fillId="0" borderId="26" xfId="0" applyFont="1" applyBorder="1" applyAlignment="1">
      <alignment vertical="center"/>
    </xf>
    <xf numFmtId="0" fontId="18" fillId="0" borderId="28" xfId="0" applyFont="1" applyBorder="1" applyAlignment="1">
      <alignment vertical="center"/>
    </xf>
    <xf numFmtId="11" fontId="18" fillId="0" borderId="27" xfId="0" applyNumberFormat="1" applyFont="1" applyBorder="1" applyAlignment="1">
      <alignment vertical="center"/>
    </xf>
    <xf numFmtId="0" fontId="18" fillId="0" borderId="29" xfId="0" applyFont="1" applyBorder="1" applyAlignment="1">
      <alignment horizontal="left" vertical="center"/>
    </xf>
    <xf numFmtId="164" fontId="18" fillId="6" borderId="30" xfId="0" applyNumberFormat="1" applyFont="1" applyFill="1" applyBorder="1" applyAlignment="1">
      <alignment horizontal="right" vertical="center"/>
    </xf>
    <xf numFmtId="0" fontId="18" fillId="0" borderId="29" xfId="0" applyFont="1" applyBorder="1" applyAlignment="1">
      <alignment vertical="center"/>
    </xf>
    <xf numFmtId="11" fontId="18" fillId="0" borderId="30" xfId="0" applyNumberFormat="1" applyFont="1" applyBorder="1" applyAlignment="1">
      <alignment vertical="center"/>
    </xf>
    <xf numFmtId="0" fontId="12" fillId="12" borderId="5" xfId="0" applyFont="1" applyFill="1" applyBorder="1" applyAlignment="1">
      <alignment horizontal="center" vertical="center"/>
    </xf>
    <xf numFmtId="0" fontId="12" fillId="0" borderId="0" xfId="0" applyFont="1" applyAlignment="1">
      <alignment horizontal="center" vertical="center"/>
    </xf>
    <xf numFmtId="0" fontId="16" fillId="0" borderId="0" xfId="0" applyFont="1" applyAlignment="1">
      <alignment horizontal="center" vertical="center"/>
    </xf>
    <xf numFmtId="164" fontId="18" fillId="0" borderId="32" xfId="0" applyNumberFormat="1" applyFont="1" applyBorder="1" applyAlignment="1">
      <alignment horizontal="right" vertical="center"/>
    </xf>
    <xf numFmtId="0" fontId="18" fillId="12" borderId="0" xfId="0" applyFont="1" applyFill="1" applyAlignment="1">
      <alignment horizontal="left" vertical="center"/>
    </xf>
    <xf numFmtId="2" fontId="18" fillId="0" borderId="32" xfId="0" applyNumberFormat="1" applyFont="1" applyBorder="1" applyAlignment="1">
      <alignment horizontal="right" vertical="center"/>
    </xf>
    <xf numFmtId="0" fontId="22" fillId="5" borderId="35" xfId="0" applyFont="1" applyFill="1" applyBorder="1" applyAlignment="1">
      <alignment vertical="center"/>
    </xf>
    <xf numFmtId="0" fontId="22" fillId="5" borderId="22" xfId="0" applyFont="1" applyFill="1" applyBorder="1" applyAlignment="1">
      <alignment vertical="center"/>
    </xf>
    <xf numFmtId="0" fontId="12" fillId="12" borderId="20" xfId="0" applyFont="1" applyFill="1" applyBorder="1" applyAlignment="1">
      <alignment horizontal="center" vertical="center"/>
    </xf>
    <xf numFmtId="0" fontId="18" fillId="12" borderId="20" xfId="0" applyFont="1" applyFill="1" applyBorder="1" applyAlignment="1">
      <alignment horizontal="left" vertical="center"/>
    </xf>
    <xf numFmtId="164" fontId="12" fillId="12" borderId="20" xfId="0" applyNumberFormat="1" applyFont="1" applyFill="1" applyBorder="1" applyAlignment="1">
      <alignment horizontal="center" vertical="center"/>
    </xf>
    <xf numFmtId="164" fontId="12" fillId="12" borderId="21" xfId="0" applyNumberFormat="1" applyFont="1" applyFill="1" applyBorder="1" applyAlignment="1">
      <alignment horizontal="center" vertical="center"/>
    </xf>
    <xf numFmtId="2" fontId="18" fillId="0" borderId="0" xfId="0" applyNumberFormat="1" applyFont="1" applyAlignment="1">
      <alignment horizontal="center" vertical="center"/>
    </xf>
    <xf numFmtId="0" fontId="18" fillId="0" borderId="27" xfId="0" applyFont="1" applyBorder="1" applyAlignment="1">
      <alignment vertical="center"/>
    </xf>
    <xf numFmtId="0" fontId="12" fillId="12" borderId="2" xfId="0" applyFont="1" applyFill="1" applyBorder="1" applyAlignment="1">
      <alignment horizontal="center" vertical="center"/>
    </xf>
    <xf numFmtId="0" fontId="18" fillId="12" borderId="2" xfId="0" applyFont="1" applyFill="1" applyBorder="1" applyAlignment="1">
      <alignment horizontal="left" vertical="center"/>
    </xf>
    <xf numFmtId="164" fontId="12" fillId="12" borderId="2" xfId="0" applyNumberFormat="1" applyFont="1" applyFill="1" applyBorder="1" applyAlignment="1">
      <alignment horizontal="center" vertical="center"/>
    </xf>
    <xf numFmtId="164" fontId="12" fillId="12" borderId="3" xfId="0" applyNumberFormat="1" applyFont="1" applyFill="1" applyBorder="1" applyAlignment="1">
      <alignment horizontal="center" vertical="center"/>
    </xf>
    <xf numFmtId="0" fontId="18" fillId="0" borderId="2" xfId="0" applyFont="1" applyBorder="1" applyAlignment="1">
      <alignment horizontal="center" vertical="center"/>
    </xf>
    <xf numFmtId="2" fontId="18" fillId="0" borderId="2" xfId="0" applyNumberFormat="1" applyFont="1" applyBorder="1" applyAlignment="1">
      <alignment horizontal="center" vertical="center"/>
    </xf>
    <xf numFmtId="0" fontId="18" fillId="0" borderId="32" xfId="0" applyFont="1" applyBorder="1" applyAlignment="1">
      <alignment vertical="center"/>
    </xf>
    <xf numFmtId="0" fontId="12" fillId="12" borderId="0" xfId="0" applyFont="1" applyFill="1" applyAlignment="1">
      <alignment horizontal="left" vertical="center" wrapText="1"/>
    </xf>
    <xf numFmtId="0" fontId="17" fillId="0" borderId="0" xfId="0" applyFont="1"/>
    <xf numFmtId="0" fontId="18" fillId="0" borderId="0" xfId="0" applyFont="1" applyAlignment="1">
      <alignment vertical="top"/>
    </xf>
    <xf numFmtId="0" fontId="18" fillId="0" borderId="0" xfId="0" applyFont="1" applyAlignment="1">
      <alignment horizontal="right" vertical="top"/>
    </xf>
    <xf numFmtId="2" fontId="18" fillId="0" borderId="30" xfId="0" applyNumberFormat="1" applyFont="1" applyBorder="1" applyAlignment="1">
      <alignment horizontal="right" vertical="center"/>
    </xf>
    <xf numFmtId="0" fontId="18" fillId="0" borderId="31" xfId="0" applyFont="1" applyBorder="1" applyAlignment="1">
      <alignment vertical="center"/>
    </xf>
    <xf numFmtId="164" fontId="18" fillId="0" borderId="32" xfId="0" applyNumberFormat="1" applyFont="1" applyBorder="1" applyAlignment="1">
      <alignment vertical="center"/>
    </xf>
    <xf numFmtId="0" fontId="18" fillId="0" borderId="0" xfId="0" applyFont="1" applyAlignment="1">
      <alignment horizontal="right" vertical="center"/>
    </xf>
    <xf numFmtId="0" fontId="18" fillId="12" borderId="20" xfId="0" applyFont="1" applyFill="1" applyBorder="1" applyAlignment="1">
      <alignment vertical="center"/>
    </xf>
    <xf numFmtId="0" fontId="18" fillId="12" borderId="21" xfId="0" applyFont="1" applyFill="1" applyBorder="1" applyAlignment="1">
      <alignment vertical="center"/>
    </xf>
    <xf numFmtId="0" fontId="39" fillId="11" borderId="47" xfId="0" applyFont="1" applyFill="1" applyBorder="1" applyAlignment="1">
      <alignment horizontal="center" vertical="center" wrapText="1"/>
    </xf>
    <xf numFmtId="1" fontId="9" fillId="0" borderId="48" xfId="0" applyNumberFormat="1" applyFont="1" applyBorder="1" applyAlignment="1">
      <alignment horizontal="center" vertical="center"/>
    </xf>
    <xf numFmtId="0" fontId="4" fillId="5" borderId="8" xfId="0" applyFont="1" applyFill="1" applyBorder="1" applyAlignment="1">
      <alignment horizontal="left" vertical="center"/>
    </xf>
    <xf numFmtId="0" fontId="9" fillId="0" borderId="0" xfId="0" applyFont="1" applyAlignment="1">
      <alignment vertical="center"/>
    </xf>
    <xf numFmtId="1" fontId="9" fillId="0" borderId="0" xfId="0" applyNumberFormat="1" applyFont="1" applyAlignment="1">
      <alignment vertical="center"/>
    </xf>
    <xf numFmtId="164" fontId="9" fillId="0" borderId="0" xfId="0" applyNumberFormat="1" applyFont="1" applyAlignment="1">
      <alignment vertical="center"/>
    </xf>
    <xf numFmtId="2" fontId="9" fillId="0" borderId="0" xfId="0" applyNumberFormat="1" applyFont="1" applyAlignment="1">
      <alignment vertical="center"/>
    </xf>
    <xf numFmtId="0" fontId="4" fillId="5" borderId="16" xfId="0" applyFont="1" applyFill="1" applyBorder="1" applyAlignment="1">
      <alignment horizontal="left" vertical="center"/>
    </xf>
    <xf numFmtId="0" fontId="10" fillId="0" borderId="0" xfId="0" applyFont="1" applyAlignment="1">
      <alignment vertical="center"/>
    </xf>
    <xf numFmtId="1" fontId="10" fillId="0" borderId="0" xfId="0" applyNumberFormat="1" applyFont="1" applyAlignment="1">
      <alignment vertical="center"/>
    </xf>
    <xf numFmtId="164" fontId="10" fillId="0" borderId="0" xfId="0" applyNumberFormat="1" applyFont="1" applyAlignment="1">
      <alignment vertical="center"/>
    </xf>
    <xf numFmtId="2" fontId="10" fillId="0" borderId="0" xfId="0" applyNumberFormat="1" applyFont="1" applyAlignment="1">
      <alignment vertical="center"/>
    </xf>
    <xf numFmtId="0" fontId="4" fillId="0" borderId="0" xfId="0" applyFont="1" applyAlignment="1">
      <alignment horizontal="center" vertical="center" wrapText="1"/>
    </xf>
    <xf numFmtId="2" fontId="9" fillId="0" borderId="0" xfId="0" applyNumberFormat="1" applyFont="1" applyAlignment="1">
      <alignment horizontal="left" vertical="center"/>
    </xf>
    <xf numFmtId="0" fontId="6" fillId="0" borderId="0" xfId="0" applyFont="1" applyAlignment="1">
      <alignment vertical="center"/>
    </xf>
    <xf numFmtId="164" fontId="9" fillId="0" borderId="0" xfId="0" applyNumberFormat="1" applyFont="1" applyAlignment="1">
      <alignment horizontal="center" vertical="center"/>
    </xf>
    <xf numFmtId="2" fontId="9" fillId="0" borderId="0" xfId="0" applyNumberFormat="1" applyFont="1" applyAlignment="1">
      <alignment horizontal="center" vertical="center"/>
    </xf>
    <xf numFmtId="0" fontId="21" fillId="0" borderId="0" xfId="0" applyFont="1" applyAlignment="1">
      <alignment horizontal="right" vertical="center"/>
    </xf>
    <xf numFmtId="0" fontId="8" fillId="0" borderId="0" xfId="0" applyFont="1" applyAlignment="1">
      <alignment horizontal="left" vertical="center"/>
    </xf>
    <xf numFmtId="0" fontId="11" fillId="0" borderId="20" xfId="0" applyFont="1" applyBorder="1" applyAlignment="1">
      <alignment vertical="center"/>
    </xf>
    <xf numFmtId="0" fontId="6" fillId="0" borderId="20" xfId="0" applyFont="1" applyBorder="1" applyAlignment="1">
      <alignment horizontal="center" vertical="center"/>
    </xf>
    <xf numFmtId="0" fontId="9" fillId="0" borderId="0" xfId="0" applyFont="1" applyAlignment="1">
      <alignment horizontal="left" vertical="center"/>
    </xf>
    <xf numFmtId="0" fontId="9" fillId="0" borderId="20" xfId="0" applyFont="1" applyBorder="1" applyAlignment="1">
      <alignment horizontal="left" vertical="center"/>
    </xf>
    <xf numFmtId="0" fontId="30" fillId="0" borderId="0" xfId="0" applyFont="1" applyAlignment="1">
      <alignment horizontal="left" vertical="center"/>
    </xf>
    <xf numFmtId="1" fontId="7" fillId="0" borderId="0" xfId="0" applyNumberFormat="1" applyFont="1" applyAlignment="1">
      <alignment horizontal="left" vertical="center"/>
    </xf>
    <xf numFmtId="0" fontId="7" fillId="0" borderId="0" xfId="0" applyFont="1" applyAlignment="1">
      <alignment horizontal="left" vertical="center"/>
    </xf>
    <xf numFmtId="167" fontId="7" fillId="0" borderId="0" xfId="0" applyNumberFormat="1" applyFont="1" applyAlignment="1">
      <alignment horizontal="left" vertical="center"/>
    </xf>
    <xf numFmtId="0" fontId="36" fillId="0" borderId="0" xfId="0" applyFont="1" applyAlignment="1">
      <alignment horizontal="left" vertical="center"/>
    </xf>
    <xf numFmtId="0" fontId="20" fillId="0" borderId="0" xfId="0" applyFont="1" applyAlignment="1">
      <alignment horizontal="left" vertical="center" wrapText="1"/>
    </xf>
    <xf numFmtId="0" fontId="30" fillId="0" borderId="0" xfId="0" applyFont="1" applyAlignment="1">
      <alignment vertical="center"/>
    </xf>
    <xf numFmtId="0" fontId="6" fillId="0" borderId="0" xfId="0" applyFont="1" applyAlignment="1">
      <alignment horizontal="center" vertical="center" wrapText="1"/>
    </xf>
    <xf numFmtId="0" fontId="6" fillId="0" borderId="8" xfId="0" applyFont="1" applyBorder="1" applyAlignment="1" applyProtection="1">
      <alignment horizontal="center" vertical="center"/>
      <protection locked="0"/>
    </xf>
    <xf numFmtId="0" fontId="8" fillId="9" borderId="23" xfId="0" applyFont="1" applyFill="1" applyBorder="1" applyAlignment="1" applyProtection="1">
      <alignment horizontal="left" vertical="center"/>
      <protection locked="0"/>
    </xf>
    <xf numFmtId="2" fontId="9" fillId="9" borderId="23" xfId="0" applyNumberFormat="1" applyFont="1" applyFill="1" applyBorder="1" applyAlignment="1">
      <alignment horizontal="right" vertical="center"/>
    </xf>
    <xf numFmtId="167" fontId="9" fillId="0" borderId="9" xfId="0" applyNumberFormat="1" applyFont="1" applyBorder="1" applyAlignment="1">
      <alignment horizontal="right" vertical="center"/>
    </xf>
    <xf numFmtId="167" fontId="9" fillId="4" borderId="9" xfId="0" applyNumberFormat="1" applyFont="1" applyFill="1" applyBorder="1" applyAlignment="1" applyProtection="1">
      <alignment horizontal="center" vertical="center"/>
      <protection locked="0"/>
    </xf>
    <xf numFmtId="167" fontId="9" fillId="6" borderId="10" xfId="0" applyNumberFormat="1" applyFont="1" applyFill="1" applyBorder="1" applyAlignment="1">
      <alignment horizontal="right" vertical="center"/>
    </xf>
    <xf numFmtId="0" fontId="6" fillId="0" borderId="0" xfId="0" applyFont="1" applyAlignment="1">
      <alignment horizontal="left" vertical="center"/>
    </xf>
    <xf numFmtId="0" fontId="6" fillId="0" borderId="11" xfId="0" applyFont="1" applyBorder="1" applyAlignment="1" applyProtection="1">
      <alignment horizontal="center" vertical="center"/>
      <protection locked="0"/>
    </xf>
    <xf numFmtId="167" fontId="9" fillId="0" borderId="12" xfId="0" applyNumberFormat="1" applyFont="1" applyBorder="1" applyAlignment="1">
      <alignment horizontal="right" vertical="center"/>
    </xf>
    <xf numFmtId="167" fontId="9" fillId="4" borderId="12" xfId="0" applyNumberFormat="1" applyFont="1" applyFill="1" applyBorder="1" applyAlignment="1" applyProtection="1">
      <alignment horizontal="center" vertical="center"/>
      <protection locked="0"/>
    </xf>
    <xf numFmtId="167" fontId="9" fillId="6" borderId="15" xfId="0" applyNumberFormat="1" applyFont="1" applyFill="1" applyBorder="1" applyAlignment="1">
      <alignment horizontal="right" vertical="center"/>
    </xf>
    <xf numFmtId="0" fontId="6" fillId="0" borderId="0" xfId="0" applyFont="1" applyAlignment="1">
      <alignment vertical="center" wrapText="1"/>
    </xf>
    <xf numFmtId="0" fontId="10" fillId="0" borderId="0" xfId="0" applyFont="1" applyAlignment="1">
      <alignment horizontal="center" vertical="center"/>
    </xf>
    <xf numFmtId="0" fontId="6" fillId="0" borderId="20" xfId="0" applyFont="1" applyBorder="1" applyAlignment="1">
      <alignment horizontal="left" vertical="center"/>
    </xf>
    <xf numFmtId="0" fontId="9" fillId="0" borderId="20" xfId="0" applyFont="1" applyBorder="1" applyAlignment="1">
      <alignment horizontal="center" vertical="center"/>
    </xf>
    <xf numFmtId="0" fontId="5" fillId="0" borderId="0" xfId="0" applyFont="1" applyAlignment="1">
      <alignment vertical="center"/>
    </xf>
    <xf numFmtId="0" fontId="6" fillId="0" borderId="16" xfId="0" applyFont="1" applyBorder="1" applyAlignment="1" applyProtection="1">
      <alignment horizontal="center" vertical="center"/>
      <protection locked="0"/>
    </xf>
    <xf numFmtId="0" fontId="8" fillId="9" borderId="17" xfId="0" applyFont="1" applyFill="1" applyBorder="1" applyAlignment="1" applyProtection="1">
      <alignment horizontal="left" vertical="center"/>
      <protection locked="0"/>
    </xf>
    <xf numFmtId="2" fontId="9" fillId="9" borderId="17" xfId="0" applyNumberFormat="1" applyFont="1" applyFill="1" applyBorder="1" applyAlignment="1">
      <alignment horizontal="right" vertical="center"/>
    </xf>
    <xf numFmtId="167" fontId="9" fillId="0" borderId="17" xfId="0" applyNumberFormat="1" applyFont="1" applyBorder="1" applyAlignment="1">
      <alignment horizontal="right" vertical="center"/>
    </xf>
    <xf numFmtId="167" fontId="9" fillId="4" borderId="17" xfId="0" applyNumberFormat="1" applyFont="1" applyFill="1" applyBorder="1" applyAlignment="1" applyProtection="1">
      <alignment horizontal="center" vertical="center"/>
      <protection locked="0"/>
    </xf>
    <xf numFmtId="167" fontId="9" fillId="6" borderId="18" xfId="0" applyNumberFormat="1" applyFont="1" applyFill="1" applyBorder="1" applyAlignment="1">
      <alignment horizontal="right" vertical="center"/>
    </xf>
    <xf numFmtId="0" fontId="2" fillId="0" borderId="0" xfId="0" applyFont="1" applyAlignment="1">
      <alignment horizontal="right" vertical="center"/>
    </xf>
    <xf numFmtId="3" fontId="9" fillId="4" borderId="9" xfId="0" applyNumberFormat="1" applyFont="1" applyFill="1" applyBorder="1" applyAlignment="1" applyProtection="1">
      <alignment horizontal="center" vertical="center"/>
      <protection locked="0"/>
    </xf>
    <xf numFmtId="1" fontId="9" fillId="4" borderId="9" xfId="0" applyNumberFormat="1" applyFont="1" applyFill="1" applyBorder="1" applyAlignment="1" applyProtection="1">
      <alignment horizontal="center" vertical="center"/>
      <protection locked="0"/>
    </xf>
    <xf numFmtId="3" fontId="9" fillId="4" borderId="12" xfId="0" applyNumberFormat="1" applyFont="1" applyFill="1" applyBorder="1" applyAlignment="1" applyProtection="1">
      <alignment horizontal="center" vertical="center"/>
      <protection locked="0"/>
    </xf>
    <xf numFmtId="1" fontId="9" fillId="4" borderId="12" xfId="0" applyNumberFormat="1" applyFont="1" applyFill="1" applyBorder="1" applyAlignment="1" applyProtection="1">
      <alignment horizontal="center" vertical="center"/>
      <protection locked="0"/>
    </xf>
    <xf numFmtId="3" fontId="9" fillId="4" borderId="17" xfId="0" applyNumberFormat="1" applyFont="1" applyFill="1" applyBorder="1" applyAlignment="1" applyProtection="1">
      <alignment horizontal="center" vertical="center"/>
      <protection locked="0"/>
    </xf>
    <xf numFmtId="1" fontId="9" fillId="4" borderId="17" xfId="0" applyNumberFormat="1" applyFont="1" applyFill="1" applyBorder="1" applyAlignment="1" applyProtection="1">
      <alignment horizontal="center" vertical="center"/>
      <protection locked="0"/>
    </xf>
    <xf numFmtId="3" fontId="9" fillId="4" borderId="23" xfId="0" applyNumberFormat="1" applyFont="1" applyFill="1" applyBorder="1" applyAlignment="1" applyProtection="1">
      <alignment horizontal="center" vertical="center"/>
      <protection locked="0"/>
    </xf>
    <xf numFmtId="1" fontId="9" fillId="4" borderId="23" xfId="0" applyNumberFormat="1" applyFont="1" applyFill="1" applyBorder="1" applyAlignment="1" applyProtection="1">
      <alignment horizontal="center" vertical="center"/>
      <protection locked="0"/>
    </xf>
    <xf numFmtId="164" fontId="9" fillId="4" borderId="23" xfId="0" applyNumberFormat="1" applyFont="1" applyFill="1" applyBorder="1" applyAlignment="1" applyProtection="1">
      <alignment horizontal="center" vertical="center"/>
      <protection locked="0"/>
    </xf>
    <xf numFmtId="164" fontId="9" fillId="4" borderId="12" xfId="0" applyNumberFormat="1" applyFont="1" applyFill="1" applyBorder="1" applyAlignment="1" applyProtection="1">
      <alignment horizontal="center" vertical="center"/>
      <protection locked="0"/>
    </xf>
    <xf numFmtId="164" fontId="9" fillId="4" borderId="17" xfId="0" applyNumberFormat="1" applyFont="1" applyFill="1" applyBorder="1" applyAlignment="1" applyProtection="1">
      <alignment horizontal="center" vertical="center"/>
      <protection locked="0"/>
    </xf>
    <xf numFmtId="2" fontId="10" fillId="0" borderId="12" xfId="0" applyNumberFormat="1" applyFont="1" applyBorder="1" applyAlignment="1">
      <alignment horizontal="center" vertical="center" wrapText="1"/>
    </xf>
    <xf numFmtId="2" fontId="10" fillId="0" borderId="17" xfId="0" applyNumberFormat="1" applyFont="1" applyBorder="1" applyAlignment="1">
      <alignment horizontal="center" vertical="center" wrapText="1"/>
    </xf>
    <xf numFmtId="2" fontId="10" fillId="0" borderId="23" xfId="0" applyNumberFormat="1" applyFont="1" applyBorder="1" applyAlignment="1">
      <alignment horizontal="center" vertical="center" wrapText="1"/>
    </xf>
    <xf numFmtId="164" fontId="9" fillId="4" borderId="10" xfId="0" applyNumberFormat="1" applyFont="1" applyFill="1" applyBorder="1" applyAlignment="1" applyProtection="1">
      <alignment horizontal="center" vertical="center"/>
      <protection locked="0"/>
    </xf>
    <xf numFmtId="164" fontId="9" fillId="4" borderId="18" xfId="0" applyNumberFormat="1" applyFont="1" applyFill="1" applyBorder="1" applyAlignment="1" applyProtection="1">
      <alignment horizontal="center" vertical="center"/>
      <protection locked="0"/>
    </xf>
    <xf numFmtId="0" fontId="4" fillId="5" borderId="8" xfId="0" applyFont="1" applyFill="1" applyBorder="1" applyAlignment="1">
      <alignment horizontal="center" vertical="center" wrapText="1"/>
    </xf>
    <xf numFmtId="0" fontId="4" fillId="5" borderId="9" xfId="0" applyFont="1" applyFill="1" applyBorder="1" applyAlignment="1">
      <alignment horizontal="center" vertical="center" wrapText="1"/>
    </xf>
    <xf numFmtId="3" fontId="4" fillId="5" borderId="9" xfId="0" applyNumberFormat="1" applyFont="1" applyFill="1" applyBorder="1" applyAlignment="1">
      <alignment horizontal="center" vertical="center" wrapText="1"/>
    </xf>
    <xf numFmtId="1" fontId="4" fillId="5" borderId="9" xfId="0" applyNumberFormat="1" applyFont="1" applyFill="1" applyBorder="1" applyAlignment="1">
      <alignment horizontal="center" vertical="center" wrapText="1"/>
    </xf>
    <xf numFmtId="167" fontId="4" fillId="5" borderId="10" xfId="0" applyNumberFormat="1" applyFont="1" applyFill="1" applyBorder="1" applyAlignment="1">
      <alignment horizontal="center" vertical="center" wrapText="1"/>
    </xf>
    <xf numFmtId="2" fontId="4" fillId="0" borderId="0" xfId="0" applyNumberFormat="1" applyFont="1" applyAlignment="1">
      <alignment horizontal="center"/>
    </xf>
    <xf numFmtId="0" fontId="30" fillId="0" borderId="5" xfId="0" applyFont="1" applyBorder="1"/>
    <xf numFmtId="9" fontId="10" fillId="6" borderId="27" xfId="0" applyNumberFormat="1" applyFont="1" applyFill="1" applyBorder="1"/>
    <xf numFmtId="165" fontId="10" fillId="6" borderId="25" xfId="0" applyNumberFormat="1" applyFont="1" applyFill="1" applyBorder="1"/>
    <xf numFmtId="166" fontId="10" fillId="0" borderId="44" xfId="0" applyNumberFormat="1" applyFont="1" applyBorder="1"/>
    <xf numFmtId="2" fontId="6" fillId="0" borderId="0" xfId="0" applyNumberFormat="1" applyFont="1" applyAlignment="1">
      <alignment horizontal="center"/>
    </xf>
    <xf numFmtId="2" fontId="10" fillId="0" borderId="0" xfId="0" applyNumberFormat="1" applyFont="1" applyAlignment="1">
      <alignment horizontal="center"/>
    </xf>
    <xf numFmtId="0" fontId="9" fillId="0" borderId="19" xfId="0" applyFont="1" applyBorder="1"/>
    <xf numFmtId="0" fontId="9" fillId="0" borderId="20" xfId="0" applyFont="1" applyBorder="1"/>
    <xf numFmtId="0" fontId="9" fillId="0" borderId="20" xfId="0" applyFont="1" applyBorder="1" applyAlignment="1">
      <alignment horizontal="center"/>
    </xf>
    <xf numFmtId="0" fontId="9" fillId="0" borderId="21" xfId="0" applyFont="1" applyBorder="1"/>
    <xf numFmtId="0" fontId="32" fillId="0" borderId="45" xfId="0" applyFont="1" applyBorder="1" applyAlignment="1">
      <alignment horizontal="center"/>
    </xf>
    <xf numFmtId="165" fontId="40" fillId="0" borderId="27" xfId="1" applyNumberFormat="1" applyFont="1" applyBorder="1" applyAlignment="1" applyProtection="1">
      <alignment horizontal="center"/>
    </xf>
    <xf numFmtId="2" fontId="10" fillId="0" borderId="49" xfId="0" applyNumberFormat="1" applyFont="1" applyBorder="1"/>
    <xf numFmtId="0" fontId="10" fillId="0" borderId="20" xfId="0" applyFont="1" applyBorder="1"/>
    <xf numFmtId="0" fontId="9" fillId="0" borderId="23" xfId="0" applyFont="1" applyBorder="1" applyAlignment="1">
      <alignment horizontal="center"/>
    </xf>
    <xf numFmtId="0" fontId="9" fillId="0" borderId="12" xfId="0" applyFont="1" applyBorder="1" applyAlignment="1">
      <alignment horizontal="center"/>
    </xf>
    <xf numFmtId="0" fontId="9" fillId="0" borderId="17" xfId="0" applyFont="1" applyBorder="1" applyAlignment="1">
      <alignment horizontal="center"/>
    </xf>
    <xf numFmtId="164" fontId="9" fillId="0" borderId="23" xfId="0" applyNumberFormat="1" applyFont="1" applyBorder="1" applyAlignment="1">
      <alignment horizontal="center"/>
    </xf>
    <xf numFmtId="164" fontId="9" fillId="0" borderId="12" xfId="0" applyNumberFormat="1" applyFont="1" applyBorder="1" applyAlignment="1">
      <alignment horizontal="center"/>
    </xf>
    <xf numFmtId="164" fontId="9" fillId="0" borderId="17" xfId="0" applyNumberFormat="1" applyFont="1" applyBorder="1" applyAlignment="1">
      <alignment horizontal="center"/>
    </xf>
    <xf numFmtId="2" fontId="9" fillId="0" borderId="23" xfId="0" applyNumberFormat="1" applyFont="1" applyBorder="1" applyAlignment="1">
      <alignment horizontal="center"/>
    </xf>
    <xf numFmtId="2" fontId="9" fillId="0" borderId="12" xfId="0" applyNumberFormat="1" applyFont="1" applyBorder="1" applyAlignment="1">
      <alignment horizontal="center"/>
    </xf>
    <xf numFmtId="2" fontId="9" fillId="0" borderId="17" xfId="0" applyNumberFormat="1" applyFont="1" applyBorder="1" applyAlignment="1">
      <alignment horizontal="center"/>
    </xf>
    <xf numFmtId="166" fontId="9" fillId="0" borderId="23" xfId="0" applyNumberFormat="1" applyFont="1" applyBorder="1" applyAlignment="1">
      <alignment horizontal="center"/>
    </xf>
    <xf numFmtId="166" fontId="9" fillId="0" borderId="12" xfId="0" applyNumberFormat="1" applyFont="1" applyBorder="1" applyAlignment="1">
      <alignment horizontal="center"/>
    </xf>
    <xf numFmtId="166" fontId="9" fillId="0" borderId="17" xfId="0" applyNumberFormat="1" applyFont="1" applyBorder="1" applyAlignment="1">
      <alignment horizontal="center"/>
    </xf>
    <xf numFmtId="165" fontId="9" fillId="0" borderId="23" xfId="0" applyNumberFormat="1" applyFont="1" applyBorder="1" applyAlignment="1">
      <alignment horizontal="center"/>
    </xf>
    <xf numFmtId="165" fontId="9" fillId="0" borderId="12" xfId="0" applyNumberFormat="1" applyFont="1" applyBorder="1" applyAlignment="1">
      <alignment horizontal="center"/>
    </xf>
    <xf numFmtId="165" fontId="9" fillId="0" borderId="17" xfId="0" applyNumberFormat="1" applyFont="1" applyBorder="1" applyAlignment="1">
      <alignment horizontal="center"/>
    </xf>
    <xf numFmtId="1" fontId="9" fillId="0" borderId="23" xfId="0" applyNumberFormat="1" applyFont="1" applyBorder="1" applyAlignment="1">
      <alignment horizontal="center"/>
    </xf>
    <xf numFmtId="1" fontId="9" fillId="0" borderId="12" xfId="0" applyNumberFormat="1" applyFont="1" applyBorder="1" applyAlignment="1">
      <alignment horizontal="center"/>
    </xf>
    <xf numFmtId="1" fontId="9" fillId="0" borderId="17" xfId="0" applyNumberFormat="1" applyFont="1" applyBorder="1" applyAlignment="1">
      <alignment horizontal="center"/>
    </xf>
    <xf numFmtId="2" fontId="1" fillId="0" borderId="12" xfId="0" applyNumberFormat="1" applyFont="1" applyBorder="1" applyAlignment="1">
      <alignment horizontal="center"/>
    </xf>
    <xf numFmtId="2" fontId="1" fillId="0" borderId="0" xfId="0" applyNumberFormat="1" applyFont="1" applyAlignment="1">
      <alignment horizontal="center"/>
    </xf>
    <xf numFmtId="0" fontId="1" fillId="0" borderId="0" xfId="0" applyFont="1"/>
    <xf numFmtId="2" fontId="1" fillId="0" borderId="23" xfId="0" applyNumberFormat="1" applyFont="1" applyBorder="1" applyAlignment="1">
      <alignment horizontal="center"/>
    </xf>
    <xf numFmtId="2" fontId="1" fillId="0" borderId="17" xfId="0" applyNumberFormat="1" applyFont="1" applyBorder="1" applyAlignment="1">
      <alignment horizontal="center"/>
    </xf>
    <xf numFmtId="2" fontId="1" fillId="0" borderId="38" xfId="0" applyNumberFormat="1" applyFont="1" applyBorder="1" applyAlignment="1">
      <alignment horizontal="center"/>
    </xf>
    <xf numFmtId="0" fontId="1" fillId="0" borderId="45" xfId="0" applyFont="1" applyBorder="1" applyAlignment="1">
      <alignment horizontal="left"/>
    </xf>
    <xf numFmtId="0" fontId="1" fillId="0" borderId="46" xfId="0" applyFont="1" applyBorder="1" applyAlignment="1">
      <alignment horizontal="left"/>
    </xf>
    <xf numFmtId="0" fontId="1" fillId="0" borderId="0" xfId="0" applyFont="1" applyAlignment="1">
      <alignment horizontal="left"/>
    </xf>
    <xf numFmtId="164" fontId="1" fillId="4" borderId="43" xfId="0" applyNumberFormat="1" applyFont="1" applyFill="1" applyBorder="1" applyAlignment="1" applyProtection="1">
      <alignment horizontal="center" vertical="center"/>
      <protection locked="0"/>
    </xf>
    <xf numFmtId="0" fontId="1" fillId="0" borderId="0" xfId="0" applyFont="1" applyAlignment="1">
      <alignment horizontal="left" vertical="center"/>
    </xf>
    <xf numFmtId="164" fontId="1" fillId="0" borderId="23" xfId="0" applyNumberFormat="1" applyFont="1" applyBorder="1" applyAlignment="1">
      <alignment horizontal="right" vertical="center"/>
    </xf>
    <xf numFmtId="0" fontId="1" fillId="0" borderId="0" xfId="0" applyFont="1" applyAlignment="1">
      <alignment vertical="center"/>
    </xf>
    <xf numFmtId="164" fontId="1" fillId="0" borderId="12" xfId="0" applyNumberFormat="1" applyFont="1" applyBorder="1" applyAlignment="1">
      <alignment horizontal="right" vertical="center"/>
    </xf>
    <xf numFmtId="164" fontId="1" fillId="0" borderId="17" xfId="0" applyNumberFormat="1" applyFont="1" applyBorder="1" applyAlignment="1">
      <alignment horizontal="right" vertical="center"/>
    </xf>
    <xf numFmtId="0" fontId="1" fillId="0" borderId="0" xfId="0" applyFont="1" applyAlignment="1">
      <alignment horizontal="center" vertical="center"/>
    </xf>
    <xf numFmtId="0" fontId="1" fillId="0" borderId="20" xfId="0" applyFont="1" applyBorder="1" applyAlignment="1">
      <alignment horizontal="center" vertical="center"/>
    </xf>
    <xf numFmtId="0" fontId="1" fillId="0" borderId="19" xfId="0" applyFont="1" applyBorder="1"/>
    <xf numFmtId="2" fontId="31" fillId="0" borderId="15" xfId="0" applyNumberFormat="1" applyFont="1" applyBorder="1" applyAlignment="1">
      <alignment horizontal="center" vertical="center"/>
    </xf>
    <xf numFmtId="0" fontId="9" fillId="0" borderId="15" xfId="0" applyFont="1" applyBorder="1" applyAlignment="1">
      <alignment vertical="center"/>
    </xf>
    <xf numFmtId="2" fontId="1" fillId="0" borderId="37" xfId="0" applyNumberFormat="1" applyFont="1" applyBorder="1" applyAlignment="1">
      <alignment horizontal="center" vertical="center"/>
    </xf>
    <xf numFmtId="2" fontId="1" fillId="0" borderId="38" xfId="0" applyNumberFormat="1" applyFont="1" applyBorder="1" applyAlignment="1">
      <alignment horizontal="center" vertical="center"/>
    </xf>
    <xf numFmtId="2" fontId="1" fillId="0" borderId="7" xfId="0" applyNumberFormat="1" applyFont="1" applyBorder="1" applyAlignment="1">
      <alignment horizontal="center" vertical="center"/>
    </xf>
    <xf numFmtId="0" fontId="10" fillId="10" borderId="11" xfId="0" applyFont="1" applyFill="1" applyBorder="1" applyAlignment="1" applyProtection="1">
      <alignment horizontal="center" vertical="center"/>
      <protection locked="0"/>
    </xf>
    <xf numFmtId="0" fontId="10" fillId="10" borderId="16" xfId="0" applyFont="1" applyFill="1" applyBorder="1" applyAlignment="1" applyProtection="1">
      <alignment horizontal="center" vertical="center"/>
      <protection locked="0"/>
    </xf>
    <xf numFmtId="2" fontId="10" fillId="0" borderId="12" xfId="0" applyNumberFormat="1" applyFont="1" applyBorder="1" applyAlignment="1">
      <alignment horizontal="center" vertical="center" wrapText="1"/>
    </xf>
    <xf numFmtId="2" fontId="10" fillId="0" borderId="17" xfId="0" applyNumberFormat="1" applyFont="1" applyBorder="1" applyAlignment="1">
      <alignment horizontal="center" vertical="center" wrapText="1"/>
    </xf>
    <xf numFmtId="2" fontId="1" fillId="0" borderId="12" xfId="0" applyNumberFormat="1" applyFont="1" applyBorder="1" applyAlignment="1">
      <alignment horizontal="center" vertical="center" wrapText="1"/>
    </xf>
    <xf numFmtId="2" fontId="1" fillId="0" borderId="17" xfId="0" applyNumberFormat="1" applyFont="1" applyBorder="1" applyAlignment="1">
      <alignment horizontal="center" vertical="center" wrapText="1"/>
    </xf>
    <xf numFmtId="165" fontId="10" fillId="0" borderId="13" xfId="0" applyNumberFormat="1" applyFont="1" applyBorder="1" applyAlignment="1">
      <alignment horizontal="center" vertical="center" wrapText="1"/>
    </xf>
    <xf numFmtId="165" fontId="10" fillId="0" borderId="15" xfId="0" applyNumberFormat="1" applyFont="1" applyBorder="1" applyAlignment="1">
      <alignment horizontal="center" vertical="center" wrapText="1"/>
    </xf>
    <xf numFmtId="165" fontId="10" fillId="0" borderId="18" xfId="0" applyNumberFormat="1" applyFont="1" applyBorder="1" applyAlignment="1">
      <alignment horizontal="center" vertical="center" wrapText="1"/>
    </xf>
    <xf numFmtId="2" fontId="1" fillId="0" borderId="23" xfId="0" applyNumberFormat="1" applyFont="1" applyBorder="1" applyAlignment="1">
      <alignment horizontal="center" vertical="center" wrapText="1"/>
    </xf>
    <xf numFmtId="0" fontId="10" fillId="10" borderId="11" xfId="2" applyFont="1" applyFill="1" applyBorder="1" applyAlignment="1" applyProtection="1">
      <alignment horizontal="center" vertical="center"/>
      <protection locked="0"/>
    </xf>
    <xf numFmtId="2" fontId="10" fillId="0" borderId="12" xfId="2" applyNumberFormat="1" applyFont="1" applyFill="1" applyBorder="1" applyAlignment="1" applyProtection="1">
      <alignment horizontal="center" vertical="center" wrapText="1"/>
    </xf>
    <xf numFmtId="0" fontId="10" fillId="10" borderId="40" xfId="0" applyFont="1" applyFill="1" applyBorder="1" applyAlignment="1" applyProtection="1">
      <alignment horizontal="center" vertical="center"/>
      <protection locked="0"/>
    </xf>
    <xf numFmtId="2" fontId="10" fillId="0" borderId="23" xfId="0" applyNumberFormat="1" applyFont="1" applyBorder="1" applyAlignment="1">
      <alignment horizontal="center" vertical="center" wrapText="1"/>
    </xf>
    <xf numFmtId="0" fontId="43" fillId="0" borderId="0" xfId="0" applyFont="1" applyAlignment="1">
      <alignment horizontal="left" vertical="center" wrapText="1"/>
    </xf>
    <xf numFmtId="0" fontId="39" fillId="5" borderId="42" xfId="0" applyFont="1" applyFill="1" applyBorder="1" applyAlignment="1">
      <alignment horizontal="left" vertical="center"/>
    </xf>
    <xf numFmtId="0" fontId="44" fillId="5" borderId="41" xfId="0" applyFont="1" applyFill="1" applyBorder="1" applyAlignment="1">
      <alignment vertical="center"/>
    </xf>
    <xf numFmtId="0" fontId="7" fillId="0" borderId="0" xfId="0" applyFont="1" applyAlignment="1">
      <alignment horizontal="left"/>
    </xf>
    <xf numFmtId="0" fontId="9" fillId="0" borderId="0" xfId="0" applyFont="1" applyAlignment="1">
      <alignment horizontal="center" wrapText="1"/>
    </xf>
    <xf numFmtId="3" fontId="9" fillId="4" borderId="12" xfId="0" applyNumberFormat="1" applyFont="1" applyFill="1" applyBorder="1" applyAlignment="1" applyProtection="1">
      <alignment horizontal="center" vertical="center"/>
      <protection locked="0"/>
    </xf>
    <xf numFmtId="3" fontId="9" fillId="4" borderId="17" xfId="0" applyNumberFormat="1" applyFont="1" applyFill="1" applyBorder="1" applyAlignment="1" applyProtection="1">
      <alignment horizontal="center" vertical="center"/>
      <protection locked="0"/>
    </xf>
    <xf numFmtId="1" fontId="9" fillId="4" borderId="23" xfId="0" applyNumberFormat="1" applyFont="1" applyFill="1" applyBorder="1" applyAlignment="1" applyProtection="1">
      <alignment horizontal="center" vertical="center"/>
      <protection locked="0"/>
    </xf>
    <xf numFmtId="1" fontId="9" fillId="4" borderId="12" xfId="0" applyNumberFormat="1" applyFont="1" applyFill="1" applyBorder="1" applyAlignment="1" applyProtection="1">
      <alignment horizontal="center" vertical="center"/>
      <protection locked="0"/>
    </xf>
    <xf numFmtId="1" fontId="9" fillId="4" borderId="17" xfId="0" applyNumberFormat="1" applyFont="1" applyFill="1" applyBorder="1" applyAlignment="1" applyProtection="1">
      <alignment horizontal="center" vertical="center"/>
      <protection locked="0"/>
    </xf>
    <xf numFmtId="167" fontId="9" fillId="0" borderId="13" xfId="0" applyNumberFormat="1" applyFont="1" applyBorder="1" applyAlignment="1">
      <alignment horizontal="center" vertical="center"/>
    </xf>
    <xf numFmtId="167" fontId="9" fillId="0" borderId="15" xfId="0" applyNumberFormat="1" applyFont="1" applyBorder="1" applyAlignment="1">
      <alignment horizontal="center" vertical="center"/>
    </xf>
    <xf numFmtId="167" fontId="9" fillId="0" borderId="18" xfId="0" applyNumberFormat="1" applyFont="1" applyBorder="1" applyAlignment="1">
      <alignment horizontal="center" vertical="center"/>
    </xf>
    <xf numFmtId="165" fontId="10" fillId="0" borderId="12" xfId="0" applyNumberFormat="1" applyFont="1" applyBorder="1" applyAlignment="1">
      <alignment horizontal="center" vertical="center" wrapText="1"/>
    </xf>
    <xf numFmtId="165" fontId="10" fillId="0" borderId="17" xfId="0" applyNumberFormat="1" applyFont="1" applyBorder="1" applyAlignment="1">
      <alignment horizontal="center" vertical="center" wrapText="1"/>
    </xf>
    <xf numFmtId="165" fontId="10" fillId="0" borderId="23" xfId="0" applyNumberFormat="1" applyFont="1" applyBorder="1" applyAlignment="1">
      <alignment horizontal="center" vertical="center" wrapText="1"/>
    </xf>
    <xf numFmtId="3" fontId="9" fillId="4" borderId="23" xfId="0" applyNumberFormat="1" applyFont="1" applyFill="1" applyBorder="1" applyAlignment="1" applyProtection="1">
      <alignment horizontal="center" vertical="center"/>
      <protection locked="0"/>
    </xf>
    <xf numFmtId="0" fontId="24" fillId="0" borderId="0" xfId="0" applyFont="1" applyAlignment="1">
      <alignment horizontal="left"/>
    </xf>
    <xf numFmtId="0" fontId="18" fillId="0" borderId="31" xfId="0" applyFont="1" applyBorder="1" applyAlignment="1">
      <alignment horizontal="left" vertical="center"/>
    </xf>
    <xf numFmtId="0" fontId="18" fillId="0" borderId="14" xfId="0" applyFont="1" applyBorder="1" applyAlignment="1">
      <alignment horizontal="left" vertical="center"/>
    </xf>
    <xf numFmtId="0" fontId="23" fillId="5" borderId="34" xfId="0" applyFont="1" applyFill="1" applyBorder="1" applyAlignment="1">
      <alignment vertical="center"/>
    </xf>
    <xf numFmtId="0" fontId="23" fillId="5" borderId="35" xfId="0" applyFont="1" applyFill="1" applyBorder="1" applyAlignment="1">
      <alignment vertical="center"/>
    </xf>
    <xf numFmtId="0" fontId="23" fillId="5" borderId="22" xfId="0" applyFont="1" applyFill="1" applyBorder="1" applyAlignment="1">
      <alignment vertical="center"/>
    </xf>
    <xf numFmtId="0" fontId="37" fillId="0" borderId="33" xfId="0" applyFont="1" applyBorder="1" applyAlignment="1">
      <alignment horizontal="left" wrapText="1"/>
    </xf>
    <xf numFmtId="0" fontId="6" fillId="0" borderId="33" xfId="0" applyFont="1" applyBorder="1" applyAlignment="1">
      <alignment horizontal="left" wrapText="1"/>
    </xf>
    <xf numFmtId="0" fontId="15" fillId="0" borderId="26" xfId="0" applyFont="1" applyBorder="1" applyAlignment="1">
      <alignment horizontal="left" vertical="center"/>
    </xf>
    <xf numFmtId="0" fontId="0" fillId="0" borderId="28" xfId="0" applyBorder="1" applyAlignment="1">
      <alignment horizontal="left" vertical="center"/>
    </xf>
    <xf numFmtId="0" fontId="15" fillId="0" borderId="29" xfId="0" applyFont="1" applyBorder="1" applyAlignment="1">
      <alignment horizontal="left" vertical="center"/>
    </xf>
    <xf numFmtId="0" fontId="0" fillId="0" borderId="0" xfId="0" applyAlignment="1">
      <alignment horizontal="left" vertical="center"/>
    </xf>
    <xf numFmtId="0" fontId="15" fillId="0" borderId="31" xfId="0" applyFont="1" applyBorder="1" applyAlignment="1">
      <alignment horizontal="left" vertical="center"/>
    </xf>
    <xf numFmtId="0" fontId="0" fillId="0" borderId="14" xfId="0" applyBorder="1" applyAlignment="1">
      <alignment horizontal="left" vertical="center"/>
    </xf>
    <xf numFmtId="0" fontId="23" fillId="5" borderId="34" xfId="0" applyFont="1" applyFill="1" applyBorder="1" applyAlignment="1">
      <alignment horizontal="left" vertical="center"/>
    </xf>
    <xf numFmtId="0" fontId="23" fillId="5" borderId="35" xfId="0" applyFont="1" applyFill="1" applyBorder="1" applyAlignment="1">
      <alignment horizontal="left" vertical="center"/>
    </xf>
    <xf numFmtId="0" fontId="23" fillId="5" borderId="22" xfId="0" applyFont="1" applyFill="1" applyBorder="1" applyAlignment="1">
      <alignment horizontal="left" vertical="center"/>
    </xf>
    <xf numFmtId="0" fontId="13" fillId="0" borderId="0" xfId="0" applyFont="1" applyAlignment="1">
      <alignment horizontal="left" vertical="center"/>
    </xf>
    <xf numFmtId="0" fontId="18" fillId="0" borderId="26" xfId="0" applyFont="1" applyBorder="1" applyAlignment="1">
      <alignment horizontal="left" vertical="center"/>
    </xf>
    <xf numFmtId="0" fontId="18" fillId="0" borderId="28" xfId="0" applyFont="1" applyBorder="1" applyAlignment="1">
      <alignment horizontal="left" vertical="center"/>
    </xf>
    <xf numFmtId="0" fontId="12" fillId="12" borderId="1" xfId="0" applyFont="1" applyFill="1" applyBorder="1" applyAlignment="1">
      <alignment horizontal="center" vertical="center" textRotation="90"/>
    </xf>
    <xf numFmtId="0" fontId="12" fillId="12" borderId="4" xfId="0" applyFont="1" applyFill="1" applyBorder="1" applyAlignment="1">
      <alignment horizontal="center" vertical="center" textRotation="90"/>
    </xf>
    <xf numFmtId="0" fontId="12" fillId="12" borderId="19" xfId="0" applyFont="1" applyFill="1" applyBorder="1" applyAlignment="1">
      <alignment horizontal="center" vertical="center" textRotation="90"/>
    </xf>
    <xf numFmtId="0" fontId="16" fillId="2" borderId="24" xfId="0" applyFont="1" applyFill="1" applyBorder="1" applyAlignment="1">
      <alignment horizontal="center" vertical="center"/>
    </xf>
    <xf numFmtId="0" fontId="16" fillId="2" borderId="25" xfId="0" applyFont="1" applyFill="1" applyBorder="1" applyAlignment="1">
      <alignment horizontal="center" vertical="center"/>
    </xf>
    <xf numFmtId="0" fontId="18" fillId="0" borderId="29" xfId="0" applyFont="1" applyBorder="1" applyAlignment="1">
      <alignment horizontal="left" vertical="center"/>
    </xf>
    <xf numFmtId="0" fontId="18" fillId="0" borderId="0" xfId="0" applyFont="1" applyAlignment="1">
      <alignment horizontal="left" vertical="center"/>
    </xf>
  </cellXfs>
  <cellStyles count="6">
    <cellStyle name="Bad" xfId="2" builtinId="27"/>
    <cellStyle name="Comma [0]" xfId="1" builtinId="6"/>
    <cellStyle name="Comma 2" xfId="5" xr:uid="{A7A0D85C-6064-4BD6-8D2B-EE6E8FD665BA}"/>
    <cellStyle name="Normal" xfId="0" builtinId="0"/>
    <cellStyle name="Normal 2" xfId="3" xr:uid="{B267D54B-ECE7-407F-B708-3ED4373A7535}"/>
    <cellStyle name="標準 2" xfId="4" xr:uid="{AF5FB9B6-5FB7-49A6-BEF6-B8439F2B0F06}"/>
  </cellStyles>
  <dxfs count="32">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numFmt numFmtId="168" formatCode=";;;"/>
    </dxf>
    <dxf>
      <fill>
        <patternFill>
          <bgColor rgb="FFFFC7CE"/>
        </patternFill>
      </fill>
    </dxf>
    <dxf>
      <numFmt numFmtId="168" formatCode=";;;"/>
    </dxf>
    <dxf>
      <fill>
        <patternFill>
          <bgColor rgb="FFFFCCCC"/>
        </patternFill>
      </fill>
    </dxf>
    <dxf>
      <fill>
        <patternFill>
          <bgColor rgb="FFFFCCCC"/>
        </patternFill>
      </fill>
    </dxf>
    <dxf>
      <numFmt numFmtId="168" formatCode=";;;"/>
    </dxf>
    <dxf>
      <fill>
        <patternFill>
          <bgColor rgb="FFFFCCCC"/>
        </patternFill>
      </fill>
    </dxf>
    <dxf>
      <font>
        <color rgb="FF9C0006"/>
      </font>
      <fill>
        <patternFill>
          <bgColor rgb="FFFFC7CE"/>
        </patternFill>
      </fill>
    </dxf>
    <dxf>
      <font>
        <color rgb="FF9C0006"/>
      </font>
      <fill>
        <patternFill>
          <bgColor rgb="FFFFC7CE"/>
        </patternFill>
      </fill>
    </dxf>
    <dxf>
      <numFmt numFmtId="168" formatCode=";;;"/>
    </dxf>
    <dxf>
      <font>
        <color rgb="FF9C0006"/>
      </font>
      <fill>
        <patternFill>
          <bgColor rgb="FFFFC7CE"/>
        </patternFill>
      </fill>
    </dxf>
    <dxf>
      <numFmt numFmtId="168" formatCode=";;;"/>
    </dxf>
    <dxf>
      <fill>
        <patternFill>
          <bgColor rgb="FFFFC7CE"/>
        </patternFill>
      </fill>
    </dxf>
    <dxf>
      <numFmt numFmtId="168" formatCode=";;;"/>
    </dxf>
    <dxf>
      <fill>
        <patternFill>
          <bgColor rgb="FFFFCCCC"/>
        </patternFill>
      </fill>
    </dxf>
    <dxf>
      <fill>
        <patternFill>
          <bgColor rgb="FFFFCCCC"/>
        </patternFill>
      </fill>
    </dxf>
    <dxf>
      <numFmt numFmtId="168" formatCode=";;;"/>
    </dxf>
    <dxf>
      <fill>
        <patternFill>
          <bgColor rgb="FFFFCCCC"/>
        </patternFill>
      </fill>
    </dxf>
  </dxfs>
  <tableStyles count="0" defaultTableStyle="TableStyleMedium2" defaultPivotStyle="PivotStyleLight16"/>
  <colors>
    <mruColors>
      <color rgb="FF0888B2"/>
      <color rgb="FFFF9300"/>
      <color rgb="FFFF6600"/>
      <color rgb="FF94165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2814371257485026E-2"/>
          <c:y val="4.9792531120331947E-2"/>
          <c:w val="0.8772455089820359"/>
          <c:h val="0.7385892116182573"/>
        </c:manualLayout>
      </c:layout>
      <c:scatterChart>
        <c:scatterStyle val="lineMarker"/>
        <c:varyColors val="0"/>
        <c:ser>
          <c:idx val="0"/>
          <c:order val="0"/>
          <c:spPr>
            <a:ln w="2540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0"/>
            <c:dispEq val="0"/>
          </c:trendline>
          <c:trendline>
            <c:spPr>
              <a:ln w="19050" cap="rnd">
                <a:solidFill>
                  <a:schemeClr val="accent1"/>
                </a:solidFill>
                <a:prstDash val="sysDot"/>
              </a:ln>
              <a:effectLst/>
            </c:spPr>
            <c:trendlineType val="linear"/>
            <c:dispRSqr val="0"/>
            <c:dispEq val="0"/>
          </c:trendline>
          <c:trendline>
            <c:spPr>
              <a:ln w="19050" cap="rnd">
                <a:solidFill>
                  <a:schemeClr val="accent1"/>
                </a:solidFill>
                <a:prstDash val="sysDot"/>
              </a:ln>
              <a:effectLst/>
            </c:spPr>
            <c:trendlineType val="linear"/>
            <c:dispRSqr val="0"/>
            <c:dispEq val="0"/>
          </c:trendline>
          <c:trendline>
            <c:spPr>
              <a:ln w="19050" cap="rnd">
                <a:solidFill>
                  <a:schemeClr val="accent1"/>
                </a:solidFill>
                <a:prstDash val="sysDot"/>
              </a:ln>
              <a:effectLst/>
            </c:spPr>
            <c:trendlineType val="linear"/>
            <c:dispRSqr val="0"/>
            <c:dispEq val="0"/>
          </c:trendline>
          <c:trendline>
            <c:spPr>
              <a:ln w="19050" cap="rnd">
                <a:solidFill>
                  <a:schemeClr val="accent1"/>
                </a:solidFill>
                <a:prstDash val="sysDot"/>
              </a:ln>
              <a:effectLst/>
            </c:spPr>
            <c:trendlineType val="linear"/>
            <c:dispRSqr val="1"/>
            <c:dispEq val="1"/>
            <c:trendlineLbl>
              <c:layout>
                <c:manualLayout>
                  <c:x val="-0.43981200132688514"/>
                  <c:y val="1.399700388904058E-2"/>
                </c:manualLayout>
              </c:layout>
              <c:numFmt formatCode="General" sourceLinked="0"/>
              <c:spPr>
                <a:noFill/>
                <a:ln>
                  <a:noFill/>
                </a:ln>
                <a:effectLst/>
              </c:spPr>
              <c:txPr>
                <a:bodyPr rot="0" spcFirstLastPara="1" vertOverflow="ellipsis" vert="horz" wrap="square" anchor="ctr" anchorCtr="1"/>
                <a:lstStyle/>
                <a:p>
                  <a:pPr>
                    <a:defRPr sz="1400" b="0" i="0" u="none" strike="noStrike" kern="1200" baseline="0">
                      <a:solidFill>
                        <a:schemeClr val="tx2"/>
                      </a:solidFill>
                      <a:latin typeface="+mn-lt"/>
                      <a:ea typeface="+mn-ea"/>
                      <a:cs typeface="+mn-cs"/>
                    </a:defRPr>
                  </a:pPr>
                  <a:endParaRPr lang="en-US"/>
                </a:p>
              </c:txPr>
            </c:trendlineLbl>
          </c:trendline>
          <c:xVal>
            <c:numRef>
              <c:f>'Library - Standard Curve'!$D$33:$D$38</c:f>
              <c:numCache>
                <c:formatCode>0.00</c:formatCode>
                <c:ptCount val="6"/>
                <c:pt idx="0">
                  <c:v>1.3010299956639813</c:v>
                </c:pt>
                <c:pt idx="1">
                  <c:v>0.3010299956639812</c:v>
                </c:pt>
                <c:pt idx="2">
                  <c:v>-0.69897000433601875</c:v>
                </c:pt>
                <c:pt idx="3">
                  <c:v>-1.6989700043360187</c:v>
                </c:pt>
                <c:pt idx="4">
                  <c:v>-2.6989700043360187</c:v>
                </c:pt>
                <c:pt idx="5">
                  <c:v>-3.6989700043360187</c:v>
                </c:pt>
              </c:numCache>
            </c:numRef>
          </c:xVal>
          <c:yVal>
            <c:numRef>
              <c:f>'Library - Standard Curve'!$H$33:$H$38</c:f>
              <c:numCache>
                <c:formatCode>0.00</c:formatCode>
                <c:ptCount val="6"/>
                <c:pt idx="0">
                  <c:v>#N/A</c:v>
                </c:pt>
                <c:pt idx="1">
                  <c:v>#N/A</c:v>
                </c:pt>
                <c:pt idx="2">
                  <c:v>#N/A</c:v>
                </c:pt>
                <c:pt idx="3">
                  <c:v>#N/A</c:v>
                </c:pt>
                <c:pt idx="4">
                  <c:v>#N/A</c:v>
                </c:pt>
                <c:pt idx="5">
                  <c:v>#N/A</c:v>
                </c:pt>
              </c:numCache>
            </c:numRef>
          </c:yVal>
          <c:smooth val="0"/>
          <c:extLst>
            <c:ext xmlns:c16="http://schemas.microsoft.com/office/drawing/2014/chart" uri="{C3380CC4-5D6E-409C-BE32-E72D297353CC}">
              <c16:uniqueId val="{00000005-36A7-2447-892D-AAD94CA02D1B}"/>
            </c:ext>
          </c:extLst>
        </c:ser>
        <c:dLbls>
          <c:showLegendKey val="0"/>
          <c:showVal val="0"/>
          <c:showCatName val="0"/>
          <c:showSerName val="0"/>
          <c:showPercent val="0"/>
          <c:showBubbleSize val="0"/>
        </c:dLbls>
        <c:axId val="571132848"/>
        <c:axId val="1"/>
      </c:scatterChart>
      <c:valAx>
        <c:axId val="571132848"/>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100" b="1" i="0" u="none" strike="noStrike" kern="1200" baseline="0">
                    <a:solidFill>
                      <a:schemeClr val="tx2"/>
                    </a:solidFill>
                    <a:latin typeface="+mn-lt"/>
                    <a:ea typeface="+mn-ea"/>
                    <a:cs typeface="+mn-cs"/>
                  </a:defRPr>
                </a:pPr>
                <a:r>
                  <a:rPr lang="en-US" sz="1100" b="1">
                    <a:solidFill>
                      <a:schemeClr val="tx2"/>
                    </a:solidFill>
                  </a:rPr>
                  <a:t>log (Conc in pM)</a:t>
                </a:r>
              </a:p>
            </c:rich>
          </c:tx>
          <c:overlay val="0"/>
          <c:spPr>
            <a:noFill/>
            <a:ln>
              <a:noFill/>
            </a:ln>
            <a:effectLst/>
          </c:spPr>
          <c:txPr>
            <a:bodyPr rot="0" spcFirstLastPara="1" vertOverflow="ellipsis" vert="horz" wrap="square" anchor="ctr" anchorCtr="1"/>
            <a:lstStyle/>
            <a:p>
              <a:pPr>
                <a:defRPr sz="1100" b="1" i="0" u="none" strike="noStrike" kern="1200" baseline="0">
                  <a:solidFill>
                    <a:schemeClr val="tx2"/>
                  </a:solidFill>
                  <a:latin typeface="+mn-lt"/>
                  <a:ea typeface="+mn-ea"/>
                  <a:cs typeface="+mn-cs"/>
                </a:defRPr>
              </a:pPr>
              <a:endParaRPr lang="en-US"/>
            </a:p>
          </c:txPr>
        </c:title>
        <c:numFmt formatCode="0.00" sourceLinked="1"/>
        <c:majorTickMark val="none"/>
        <c:minorTickMark val="none"/>
        <c:tickLblPos val="low"/>
        <c:spPr>
          <a:noFill/>
          <a:ln w="9525" cap="flat" cmpd="sng" algn="ctr">
            <a:solidFill>
              <a:schemeClr val="tx1">
                <a:lumMod val="25000"/>
                <a:lumOff val="75000"/>
              </a:schemeClr>
            </a:solidFill>
            <a:round/>
          </a:ln>
          <a:effectLst/>
        </c:spPr>
        <c:txPr>
          <a:bodyPr rot="0" spcFirstLastPara="1" vertOverflow="ellipsis" wrap="square" anchor="ctr" anchorCtr="1"/>
          <a:lstStyle/>
          <a:p>
            <a:pPr>
              <a:defRPr sz="1100" b="0" i="0" u="none" strike="noStrike" kern="1200" baseline="0">
                <a:solidFill>
                  <a:schemeClr val="tx2"/>
                </a:solidFill>
                <a:latin typeface="+mn-lt"/>
                <a:ea typeface="+mn-ea"/>
                <a:cs typeface="+mn-cs"/>
              </a:defRPr>
            </a:pPr>
            <a:endParaRPr lang="en-US"/>
          </a:p>
        </c:txPr>
        <c:crossAx val="1"/>
        <c:crosses val="autoZero"/>
        <c:crossBetween val="midCat"/>
      </c:valAx>
      <c:valAx>
        <c:axId val="1"/>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100" b="1" i="0" u="none" strike="noStrike" kern="1200" baseline="0">
                    <a:solidFill>
                      <a:schemeClr val="tx2"/>
                    </a:solidFill>
                    <a:latin typeface="+mn-lt"/>
                    <a:ea typeface="+mn-ea"/>
                    <a:cs typeface="+mn-cs"/>
                  </a:defRPr>
                </a:pPr>
                <a:r>
                  <a:rPr lang="en-US" sz="1100" b="1">
                    <a:solidFill>
                      <a:schemeClr val="tx2"/>
                    </a:solidFill>
                  </a:rPr>
                  <a:t>Average Ct</a:t>
                </a:r>
              </a:p>
            </c:rich>
          </c:tx>
          <c:overlay val="0"/>
          <c:spPr>
            <a:noFill/>
            <a:ln>
              <a:noFill/>
            </a:ln>
            <a:effectLst/>
          </c:spPr>
          <c:txPr>
            <a:bodyPr rot="-5400000" spcFirstLastPara="1" vertOverflow="ellipsis" vert="horz" wrap="square" anchor="ctr" anchorCtr="1"/>
            <a:lstStyle/>
            <a:p>
              <a:pPr>
                <a:defRPr sz="1100" b="1" i="0" u="none" strike="noStrike" kern="1200" baseline="0">
                  <a:solidFill>
                    <a:schemeClr val="tx2"/>
                  </a:solidFill>
                  <a:latin typeface="+mn-lt"/>
                  <a:ea typeface="+mn-ea"/>
                  <a:cs typeface="+mn-cs"/>
                </a:defRPr>
              </a:pPr>
              <a:endParaRPr lang="en-US"/>
            </a:p>
          </c:txPr>
        </c:title>
        <c:numFmt formatCode="0.00" sourceLinked="1"/>
        <c:majorTickMark val="none"/>
        <c:minorTickMark val="none"/>
        <c:tickLblPos val="low"/>
        <c:spPr>
          <a:noFill/>
          <a:ln w="9525" cap="flat" cmpd="sng" algn="ctr">
            <a:solidFill>
              <a:schemeClr val="tx1">
                <a:lumMod val="25000"/>
                <a:lumOff val="75000"/>
              </a:schemeClr>
            </a:solidFill>
            <a:round/>
          </a:ln>
          <a:effectLst/>
        </c:spPr>
        <c:txPr>
          <a:bodyPr rot="0" spcFirstLastPara="1" vertOverflow="ellipsis" wrap="square" anchor="ctr" anchorCtr="1"/>
          <a:lstStyle/>
          <a:p>
            <a:pPr>
              <a:defRPr sz="1100" b="0" i="0" u="none" strike="noStrike" kern="1200" baseline="0">
                <a:solidFill>
                  <a:schemeClr val="tx2"/>
                </a:solidFill>
                <a:latin typeface="+mn-lt"/>
                <a:ea typeface="+mn-ea"/>
                <a:cs typeface="+mn-cs"/>
              </a:defRPr>
            </a:pPr>
            <a:endParaRPr lang="en-US"/>
          </a:p>
        </c:txPr>
        <c:crossAx val="571132848"/>
        <c:crosses val="autoZero"/>
        <c:crossBetween val="midCat"/>
      </c:valAx>
      <c:spPr>
        <a:noFill/>
        <a:ln>
          <a:noFill/>
        </a:ln>
        <a:effectLst/>
      </c:spPr>
    </c:plotArea>
    <c:plotVisOnly val="1"/>
    <c:dispBlanksAs val="gap"/>
    <c:showDLblsOverMax val="0"/>
  </c:chart>
  <c:spPr>
    <a:solidFill>
      <a:schemeClr val="bg1"/>
    </a:solidFill>
    <a:ln w="12700" cap="flat" cmpd="sng" algn="ctr">
      <a:solidFill>
        <a:sysClr val="windowText" lastClr="000000"/>
      </a:solidFill>
      <a:round/>
    </a:ln>
    <a:effectLst/>
  </c:spPr>
  <c:txPr>
    <a:bodyPr/>
    <a:lstStyle/>
    <a:p>
      <a:pPr>
        <a:defRPr/>
      </a:pPr>
      <a:endParaRPr lang="en-US"/>
    </a:p>
  </c:txPr>
  <c:printSettings>
    <c:headerFooter alignWithMargins="0"/>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2814371257485026E-2"/>
          <c:y val="4.9792531120331947E-2"/>
          <c:w val="0.8772455089820359"/>
          <c:h val="0.7385892116182573"/>
        </c:manualLayout>
      </c:layout>
      <c:scatterChart>
        <c:scatterStyle val="lineMarker"/>
        <c:varyColors val="0"/>
        <c:ser>
          <c:idx val="0"/>
          <c:order val="0"/>
          <c:spPr>
            <a:ln w="2540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0"/>
            <c:dispEq val="0"/>
          </c:trendline>
          <c:trendline>
            <c:spPr>
              <a:ln w="19050" cap="rnd">
                <a:solidFill>
                  <a:schemeClr val="accent1"/>
                </a:solidFill>
                <a:prstDash val="sysDot"/>
              </a:ln>
              <a:effectLst/>
            </c:spPr>
            <c:trendlineType val="linear"/>
            <c:dispRSqr val="0"/>
            <c:dispEq val="0"/>
          </c:trendline>
          <c:trendline>
            <c:spPr>
              <a:ln w="19050" cap="rnd">
                <a:solidFill>
                  <a:schemeClr val="accent1"/>
                </a:solidFill>
                <a:prstDash val="sysDot"/>
              </a:ln>
              <a:effectLst/>
            </c:spPr>
            <c:trendlineType val="linear"/>
            <c:dispRSqr val="0"/>
            <c:dispEq val="0"/>
          </c:trendline>
          <c:trendline>
            <c:spPr>
              <a:ln w="19050" cap="rnd">
                <a:solidFill>
                  <a:schemeClr val="accent1"/>
                </a:solidFill>
                <a:prstDash val="sysDot"/>
              </a:ln>
              <a:effectLst/>
            </c:spPr>
            <c:trendlineType val="linear"/>
            <c:dispRSqr val="0"/>
            <c:dispEq val="0"/>
          </c:trendline>
          <c:trendline>
            <c:spPr>
              <a:ln w="19050" cap="rnd">
                <a:solidFill>
                  <a:schemeClr val="accent1"/>
                </a:solidFill>
                <a:prstDash val="sysDot"/>
              </a:ln>
              <a:effectLst/>
            </c:spPr>
            <c:trendlineType val="linear"/>
            <c:dispRSqr val="1"/>
            <c:dispEq val="1"/>
            <c:trendlineLbl>
              <c:layout>
                <c:manualLayout>
                  <c:x val="-0.43981200132688514"/>
                  <c:y val="1.399700388904058E-2"/>
                </c:manualLayout>
              </c:layout>
              <c:numFmt formatCode="General" sourceLinked="0"/>
              <c:spPr>
                <a:noFill/>
                <a:ln>
                  <a:noFill/>
                </a:ln>
                <a:effectLst/>
              </c:spPr>
              <c:txPr>
                <a:bodyPr rot="0" spcFirstLastPara="1" vertOverflow="ellipsis" vert="horz" wrap="square" anchor="ctr" anchorCtr="1"/>
                <a:lstStyle/>
                <a:p>
                  <a:pPr>
                    <a:defRPr sz="1400" b="0" i="0" u="none" strike="noStrike" kern="1200" baseline="0">
                      <a:solidFill>
                        <a:schemeClr val="tx2"/>
                      </a:solidFill>
                      <a:latin typeface="+mn-lt"/>
                      <a:ea typeface="+mn-ea"/>
                      <a:cs typeface="+mn-cs"/>
                    </a:defRPr>
                  </a:pPr>
                  <a:endParaRPr lang="en-US"/>
                </a:p>
              </c:txPr>
            </c:trendlineLbl>
          </c:trendline>
          <c:xVal>
            <c:numRef>
              <c:f>'Pool - Standard Curve'!$D$33:$D$38</c:f>
              <c:numCache>
                <c:formatCode>0.00</c:formatCode>
                <c:ptCount val="6"/>
                <c:pt idx="0">
                  <c:v>1.3010299956639813</c:v>
                </c:pt>
                <c:pt idx="1">
                  <c:v>0.3010299956639812</c:v>
                </c:pt>
                <c:pt idx="2">
                  <c:v>-0.69897000433601875</c:v>
                </c:pt>
                <c:pt idx="3">
                  <c:v>-1.6989700043360187</c:v>
                </c:pt>
                <c:pt idx="4">
                  <c:v>-2.6989700043360187</c:v>
                </c:pt>
                <c:pt idx="5">
                  <c:v>-3.6989700043360187</c:v>
                </c:pt>
              </c:numCache>
            </c:numRef>
          </c:xVal>
          <c:yVal>
            <c:numRef>
              <c:f>'Pool - Standard Curve'!$H$33:$H$38</c:f>
              <c:numCache>
                <c:formatCode>0.00</c:formatCode>
                <c:ptCount val="6"/>
                <c:pt idx="0">
                  <c:v>#N/A</c:v>
                </c:pt>
                <c:pt idx="1">
                  <c:v>#N/A</c:v>
                </c:pt>
                <c:pt idx="2">
                  <c:v>#N/A</c:v>
                </c:pt>
                <c:pt idx="3">
                  <c:v>#N/A</c:v>
                </c:pt>
                <c:pt idx="4">
                  <c:v>#N/A</c:v>
                </c:pt>
                <c:pt idx="5">
                  <c:v>#N/A</c:v>
                </c:pt>
              </c:numCache>
            </c:numRef>
          </c:yVal>
          <c:smooth val="0"/>
          <c:extLst>
            <c:ext xmlns:c16="http://schemas.microsoft.com/office/drawing/2014/chart" uri="{C3380CC4-5D6E-409C-BE32-E72D297353CC}">
              <c16:uniqueId val="{00000005-2546-8F4D-ABE3-4EAE7C0D7546}"/>
            </c:ext>
          </c:extLst>
        </c:ser>
        <c:dLbls>
          <c:showLegendKey val="0"/>
          <c:showVal val="0"/>
          <c:showCatName val="0"/>
          <c:showSerName val="0"/>
          <c:showPercent val="0"/>
          <c:showBubbleSize val="0"/>
        </c:dLbls>
        <c:axId val="571132848"/>
        <c:axId val="1"/>
      </c:scatterChart>
      <c:valAx>
        <c:axId val="571132848"/>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100" b="1" i="0" u="none" strike="noStrike" kern="1200" baseline="0">
                    <a:solidFill>
                      <a:schemeClr val="tx2"/>
                    </a:solidFill>
                    <a:latin typeface="+mn-lt"/>
                    <a:ea typeface="+mn-ea"/>
                    <a:cs typeface="+mn-cs"/>
                  </a:defRPr>
                </a:pPr>
                <a:r>
                  <a:rPr lang="en-US" sz="1100" b="1">
                    <a:solidFill>
                      <a:schemeClr val="tx2"/>
                    </a:solidFill>
                  </a:rPr>
                  <a:t>log (Conc in pM)</a:t>
                </a:r>
              </a:p>
            </c:rich>
          </c:tx>
          <c:overlay val="0"/>
          <c:spPr>
            <a:noFill/>
            <a:ln>
              <a:noFill/>
            </a:ln>
            <a:effectLst/>
          </c:spPr>
          <c:txPr>
            <a:bodyPr rot="0" spcFirstLastPara="1" vertOverflow="ellipsis" vert="horz" wrap="square" anchor="ctr" anchorCtr="1"/>
            <a:lstStyle/>
            <a:p>
              <a:pPr>
                <a:defRPr sz="1100" b="1" i="0" u="none" strike="noStrike" kern="1200" baseline="0">
                  <a:solidFill>
                    <a:schemeClr val="tx2"/>
                  </a:solidFill>
                  <a:latin typeface="+mn-lt"/>
                  <a:ea typeface="+mn-ea"/>
                  <a:cs typeface="+mn-cs"/>
                </a:defRPr>
              </a:pPr>
              <a:endParaRPr lang="en-US"/>
            </a:p>
          </c:txPr>
        </c:title>
        <c:numFmt formatCode="0.00" sourceLinked="1"/>
        <c:majorTickMark val="none"/>
        <c:minorTickMark val="none"/>
        <c:tickLblPos val="low"/>
        <c:spPr>
          <a:noFill/>
          <a:ln w="9525" cap="flat" cmpd="sng" algn="ctr">
            <a:solidFill>
              <a:schemeClr val="tx1">
                <a:lumMod val="25000"/>
                <a:lumOff val="75000"/>
              </a:schemeClr>
            </a:solidFill>
            <a:round/>
          </a:ln>
          <a:effectLst/>
        </c:spPr>
        <c:txPr>
          <a:bodyPr rot="0" spcFirstLastPara="1" vertOverflow="ellipsis" wrap="square" anchor="ctr" anchorCtr="1"/>
          <a:lstStyle/>
          <a:p>
            <a:pPr>
              <a:defRPr sz="1100" b="0" i="0" u="none" strike="noStrike" kern="1200" baseline="0">
                <a:solidFill>
                  <a:schemeClr val="tx2"/>
                </a:solidFill>
                <a:latin typeface="+mn-lt"/>
                <a:ea typeface="+mn-ea"/>
                <a:cs typeface="+mn-cs"/>
              </a:defRPr>
            </a:pPr>
            <a:endParaRPr lang="en-US"/>
          </a:p>
        </c:txPr>
        <c:crossAx val="1"/>
        <c:crosses val="autoZero"/>
        <c:crossBetween val="midCat"/>
      </c:valAx>
      <c:valAx>
        <c:axId val="1"/>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100" b="1" i="0" u="none" strike="noStrike" kern="1200" baseline="0">
                    <a:solidFill>
                      <a:schemeClr val="tx2"/>
                    </a:solidFill>
                    <a:latin typeface="+mn-lt"/>
                    <a:ea typeface="+mn-ea"/>
                    <a:cs typeface="+mn-cs"/>
                  </a:defRPr>
                </a:pPr>
                <a:r>
                  <a:rPr lang="en-US" sz="1100" b="1">
                    <a:solidFill>
                      <a:schemeClr val="tx2"/>
                    </a:solidFill>
                  </a:rPr>
                  <a:t>Average Ct</a:t>
                </a:r>
              </a:p>
            </c:rich>
          </c:tx>
          <c:overlay val="0"/>
          <c:spPr>
            <a:noFill/>
            <a:ln>
              <a:noFill/>
            </a:ln>
            <a:effectLst/>
          </c:spPr>
          <c:txPr>
            <a:bodyPr rot="-5400000" spcFirstLastPara="1" vertOverflow="ellipsis" vert="horz" wrap="square" anchor="ctr" anchorCtr="1"/>
            <a:lstStyle/>
            <a:p>
              <a:pPr>
                <a:defRPr sz="1100" b="1" i="0" u="none" strike="noStrike" kern="1200" baseline="0">
                  <a:solidFill>
                    <a:schemeClr val="tx2"/>
                  </a:solidFill>
                  <a:latin typeface="+mn-lt"/>
                  <a:ea typeface="+mn-ea"/>
                  <a:cs typeface="+mn-cs"/>
                </a:defRPr>
              </a:pPr>
              <a:endParaRPr lang="en-US"/>
            </a:p>
          </c:txPr>
        </c:title>
        <c:numFmt formatCode="0.00" sourceLinked="1"/>
        <c:majorTickMark val="none"/>
        <c:minorTickMark val="none"/>
        <c:tickLblPos val="low"/>
        <c:spPr>
          <a:noFill/>
          <a:ln w="9525" cap="flat" cmpd="sng" algn="ctr">
            <a:solidFill>
              <a:schemeClr val="tx1">
                <a:lumMod val="25000"/>
                <a:lumOff val="75000"/>
              </a:schemeClr>
            </a:solidFill>
            <a:round/>
          </a:ln>
          <a:effectLst/>
        </c:spPr>
        <c:txPr>
          <a:bodyPr rot="0" spcFirstLastPara="1" vertOverflow="ellipsis" wrap="square" anchor="ctr" anchorCtr="1"/>
          <a:lstStyle/>
          <a:p>
            <a:pPr>
              <a:defRPr sz="1100" b="0" i="0" u="none" strike="noStrike" kern="1200" baseline="0">
                <a:solidFill>
                  <a:schemeClr val="tx2"/>
                </a:solidFill>
                <a:latin typeface="+mn-lt"/>
                <a:ea typeface="+mn-ea"/>
                <a:cs typeface="+mn-cs"/>
              </a:defRPr>
            </a:pPr>
            <a:endParaRPr lang="en-US"/>
          </a:p>
        </c:txPr>
        <c:crossAx val="571132848"/>
        <c:crosses val="autoZero"/>
        <c:crossBetween val="midCat"/>
      </c:valAx>
      <c:spPr>
        <a:noFill/>
        <a:ln>
          <a:noFill/>
        </a:ln>
        <a:effectLst/>
      </c:spPr>
    </c:plotArea>
    <c:plotVisOnly val="1"/>
    <c:dispBlanksAs val="gap"/>
    <c:showDLblsOverMax val="0"/>
  </c:chart>
  <c:spPr>
    <a:solidFill>
      <a:schemeClr val="bg1"/>
    </a:solidFill>
    <a:ln w="12700" cap="flat" cmpd="sng" algn="ctr">
      <a:solidFill>
        <a:sysClr val="windowText" lastClr="000000"/>
      </a:solidFill>
      <a:round/>
    </a:ln>
    <a:effectLst/>
  </c:spPr>
  <c:txPr>
    <a:bodyPr/>
    <a:lstStyle/>
    <a:p>
      <a:pPr>
        <a:defRPr/>
      </a:pPr>
      <a:endParaRPr lang="en-US"/>
    </a:p>
  </c:txPr>
  <c:printSettings>
    <c:headerFooter alignWithMargins="0"/>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7</xdr:col>
      <xdr:colOff>76200</xdr:colOff>
      <xdr:row>30</xdr:row>
      <xdr:rowOff>12700</xdr:rowOff>
    </xdr:from>
    <xdr:to>
      <xdr:col>10</xdr:col>
      <xdr:colOff>3883025</xdr:colOff>
      <xdr:row>44</xdr:row>
      <xdr:rowOff>22225</xdr:rowOff>
    </xdr:to>
    <xdr:graphicFrame macro="">
      <xdr:nvGraphicFramePr>
        <xdr:cNvPr id="3" name="Chart 2">
          <a:extLst>
            <a:ext uri="{FF2B5EF4-FFF2-40B4-BE49-F238E27FC236}">
              <a16:creationId xmlns:a16="http://schemas.microsoft.com/office/drawing/2014/main" id="{4AE50FA7-C073-D54E-A4DB-963951A66A3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7</xdr:col>
      <xdr:colOff>101600</xdr:colOff>
      <xdr:row>30</xdr:row>
      <xdr:rowOff>12700</xdr:rowOff>
    </xdr:from>
    <xdr:to>
      <xdr:col>10</xdr:col>
      <xdr:colOff>3908425</xdr:colOff>
      <xdr:row>44</xdr:row>
      <xdr:rowOff>22225</xdr:rowOff>
    </xdr:to>
    <xdr:graphicFrame macro="">
      <xdr:nvGraphicFramePr>
        <xdr:cNvPr id="3" name="Chart 2">
          <a:extLst>
            <a:ext uri="{FF2B5EF4-FFF2-40B4-BE49-F238E27FC236}">
              <a16:creationId xmlns:a16="http://schemas.microsoft.com/office/drawing/2014/main" id="{5970E932-2D42-C449-90B8-B3BAB655C3A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0AACA0"/>
      </a:accent1>
      <a:accent2>
        <a:srgbClr val="66BF7E"/>
      </a:accent2>
      <a:accent3>
        <a:srgbClr val="0888B2"/>
      </a:accent3>
      <a:accent4>
        <a:srgbClr val="8E2666"/>
      </a:accent4>
      <a:accent5>
        <a:srgbClr val="4ADDC0"/>
      </a:accent5>
      <a:accent6>
        <a:srgbClr val="044C5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1851B2-8BC3-BE40-B5E9-7AAD7187A774}">
  <sheetPr codeName="Sheet1">
    <pageSetUpPr fitToPage="1"/>
  </sheetPr>
  <dimension ref="A1:K45"/>
  <sheetViews>
    <sheetView tabSelected="1" view="pageLayout" topLeftCell="A35" zoomScale="90" zoomScaleNormal="130" zoomScalePageLayoutView="90" workbookViewId="0">
      <selection activeCell="C22" sqref="C22"/>
    </sheetView>
  </sheetViews>
  <sheetFormatPr baseColWidth="10" defaultColWidth="10.83203125" defaultRowHeight="13" x14ac:dyDescent="0.15"/>
  <cols>
    <col min="1" max="1" width="1.5" style="24" customWidth="1"/>
    <col min="2" max="2" width="15.83203125" style="24" customWidth="1"/>
    <col min="3" max="3" width="12.5" style="24" customWidth="1"/>
    <col min="4" max="4" width="13" style="24" customWidth="1"/>
    <col min="5" max="5" width="15.83203125" style="24" customWidth="1"/>
    <col min="6" max="6" width="15.1640625" style="108" customWidth="1"/>
    <col min="7" max="7" width="14.83203125" style="24" customWidth="1"/>
    <col min="8" max="8" width="14.1640625" style="24" customWidth="1"/>
    <col min="9" max="9" width="14.6640625" style="24" customWidth="1"/>
    <col min="10" max="10" width="15.1640625" style="24" customWidth="1"/>
    <col min="11" max="11" width="55" style="24" customWidth="1"/>
    <col min="12" max="13" width="10.83203125" style="24"/>
    <col min="14" max="14" width="11" style="24" customWidth="1"/>
    <col min="15" max="16384" width="10.83203125" style="24"/>
  </cols>
  <sheetData>
    <row r="1" spans="1:10" ht="34" customHeight="1" x14ac:dyDescent="0.2">
      <c r="B1" s="25" t="s">
        <v>0</v>
      </c>
      <c r="C1" s="25"/>
      <c r="D1" s="25"/>
      <c r="E1" s="25"/>
      <c r="F1" s="72"/>
      <c r="G1" s="25"/>
      <c r="H1" s="25"/>
      <c r="I1" s="25"/>
      <c r="J1" s="25"/>
    </row>
    <row r="2" spans="1:10" ht="20" customHeight="1" x14ac:dyDescent="0.2">
      <c r="B2" s="29" t="s">
        <v>1</v>
      </c>
      <c r="C2" s="25"/>
      <c r="D2" s="25"/>
      <c r="E2" s="25"/>
      <c r="F2" s="72"/>
      <c r="G2" s="25"/>
      <c r="H2" s="25"/>
      <c r="I2" s="25"/>
      <c r="J2" s="25"/>
    </row>
    <row r="3" spans="1:10" ht="20" customHeight="1" x14ac:dyDescent="0.2">
      <c r="B3" s="29" t="s">
        <v>2</v>
      </c>
      <c r="C3" s="25"/>
      <c r="D3" s="25"/>
      <c r="E3" s="25"/>
      <c r="F3" s="72"/>
      <c r="G3" s="25"/>
      <c r="H3" s="25"/>
      <c r="I3" s="25"/>
      <c r="J3" s="25"/>
    </row>
    <row r="4" spans="1:10" ht="20" customHeight="1" x14ac:dyDescent="0.2">
      <c r="B4" s="345" t="s">
        <v>3</v>
      </c>
      <c r="C4" s="25"/>
      <c r="D4" s="25"/>
      <c r="E4" s="25"/>
      <c r="F4" s="72"/>
      <c r="G4" s="25"/>
      <c r="H4" s="25"/>
      <c r="I4" s="25"/>
      <c r="J4" s="25"/>
    </row>
    <row r="5" spans="1:10" ht="20" customHeight="1" x14ac:dyDescent="0.2">
      <c r="B5" s="73" t="s">
        <v>4</v>
      </c>
      <c r="C5" s="25"/>
      <c r="D5" s="25"/>
      <c r="E5" s="25"/>
      <c r="F5" s="72"/>
      <c r="G5" s="25"/>
      <c r="H5" s="25"/>
      <c r="I5" s="25"/>
      <c r="J5" s="25"/>
    </row>
    <row r="6" spans="1:10" ht="20" customHeight="1" thickBot="1" x14ac:dyDescent="0.25">
      <c r="B6" s="73"/>
      <c r="C6" s="25"/>
      <c r="D6" s="25"/>
      <c r="E6" s="25"/>
      <c r="F6" s="72"/>
      <c r="G6" s="25"/>
      <c r="H6" s="25"/>
      <c r="I6" s="25"/>
      <c r="J6" s="25"/>
    </row>
    <row r="7" spans="1:10" s="40" customFormat="1" ht="22" customHeight="1" thickBot="1" x14ac:dyDescent="0.25">
      <c r="A7" s="24"/>
      <c r="B7" s="74" t="s">
        <v>5</v>
      </c>
      <c r="C7" s="74" t="s">
        <v>6</v>
      </c>
      <c r="D7" s="74" t="s">
        <v>7</v>
      </c>
      <c r="E7" s="74" t="s">
        <v>8</v>
      </c>
      <c r="F7" s="74" t="s">
        <v>9</v>
      </c>
      <c r="G7" s="35" t="s">
        <v>10</v>
      </c>
      <c r="H7" s="75" t="s">
        <v>11</v>
      </c>
    </row>
    <row r="8" spans="1:10" s="40" customFormat="1" ht="16" customHeight="1" x14ac:dyDescent="0.2">
      <c r="A8" s="24"/>
      <c r="B8" s="76" t="s">
        <v>12</v>
      </c>
      <c r="C8" s="11"/>
      <c r="D8" s="12"/>
      <c r="E8" s="325">
        <v>20</v>
      </c>
      <c r="F8" s="363" t="e">
        <f>AVERAGE(C8:C10)</f>
        <v>#DIV/0!</v>
      </c>
      <c r="G8" s="346" t="e">
        <f>C8-$F$8</f>
        <v>#DIV/0!</v>
      </c>
      <c r="H8" s="77" t="s">
        <v>13</v>
      </c>
    </row>
    <row r="9" spans="1:10" s="40" customFormat="1" ht="16" customHeight="1" x14ac:dyDescent="0.2">
      <c r="A9" s="24"/>
      <c r="B9" s="76" t="s">
        <v>12</v>
      </c>
      <c r="C9" s="13"/>
      <c r="D9" s="14"/>
      <c r="E9" s="326">
        <v>20</v>
      </c>
      <c r="F9" s="363"/>
      <c r="G9" s="346" t="e">
        <f>C9-$F$8</f>
        <v>#DIV/0!</v>
      </c>
      <c r="H9" s="79"/>
    </row>
    <row r="10" spans="1:10" ht="16" customHeight="1" thickBot="1" x14ac:dyDescent="0.25">
      <c r="B10" s="80" t="s">
        <v>12</v>
      </c>
      <c r="C10" s="15"/>
      <c r="D10" s="16"/>
      <c r="E10" s="327">
        <v>20</v>
      </c>
      <c r="F10" s="364"/>
      <c r="G10" s="347" t="e">
        <f>C10-$F$8</f>
        <v>#DIV/0!</v>
      </c>
      <c r="H10" s="361" t="e">
        <f>F11-F8</f>
        <v>#DIV/0!</v>
      </c>
    </row>
    <row r="11" spans="1:10" ht="16" x14ac:dyDescent="0.2">
      <c r="B11" s="76" t="s">
        <v>14</v>
      </c>
      <c r="C11" s="11"/>
      <c r="D11" s="17"/>
      <c r="E11" s="325">
        <v>2</v>
      </c>
      <c r="F11" s="365" t="e">
        <f>AVERAGE(C11:C13)</f>
        <v>#DIV/0!</v>
      </c>
      <c r="G11" s="346" t="e">
        <f>C11-$F$11</f>
        <v>#DIV/0!</v>
      </c>
      <c r="H11" s="361"/>
    </row>
    <row r="12" spans="1:10" ht="16" customHeight="1" x14ac:dyDescent="0.2">
      <c r="B12" s="78" t="s">
        <v>14</v>
      </c>
      <c r="C12" s="13"/>
      <c r="D12" s="14"/>
      <c r="E12" s="326">
        <v>2</v>
      </c>
      <c r="F12" s="363"/>
      <c r="G12" s="346" t="e">
        <f>C12-$F$11</f>
        <v>#DIV/0!</v>
      </c>
      <c r="H12" s="79"/>
    </row>
    <row r="13" spans="1:10" ht="17" thickBot="1" x14ac:dyDescent="0.25">
      <c r="B13" s="80" t="s">
        <v>14</v>
      </c>
      <c r="C13" s="15"/>
      <c r="D13" s="16"/>
      <c r="E13" s="327">
        <v>2</v>
      </c>
      <c r="F13" s="364"/>
      <c r="G13" s="347" t="e">
        <f>C13-$F$11</f>
        <v>#DIV/0!</v>
      </c>
      <c r="H13" s="361" t="e">
        <f>F14-F11</f>
        <v>#DIV/0!</v>
      </c>
    </row>
    <row r="14" spans="1:10" ht="16" x14ac:dyDescent="0.2">
      <c r="B14" s="76" t="s">
        <v>15</v>
      </c>
      <c r="C14" s="11"/>
      <c r="D14" s="17"/>
      <c r="E14" s="328">
        <v>0.2</v>
      </c>
      <c r="F14" s="365" t="e">
        <f>AVERAGE(C14:C16)</f>
        <v>#DIV/0!</v>
      </c>
      <c r="G14" s="346" t="e">
        <f>C14-$F$14</f>
        <v>#DIV/0!</v>
      </c>
      <c r="H14" s="362"/>
    </row>
    <row r="15" spans="1:10" ht="16" x14ac:dyDescent="0.2">
      <c r="B15" s="78" t="s">
        <v>15</v>
      </c>
      <c r="C15" s="13"/>
      <c r="D15" s="14"/>
      <c r="E15" s="329">
        <v>0.2</v>
      </c>
      <c r="F15" s="363"/>
      <c r="G15" s="346" t="e">
        <f>C15-$F$14</f>
        <v>#DIV/0!</v>
      </c>
      <c r="H15" s="81"/>
    </row>
    <row r="16" spans="1:10" ht="16" customHeight="1" thickBot="1" x14ac:dyDescent="0.25">
      <c r="B16" s="80" t="s">
        <v>15</v>
      </c>
      <c r="C16" s="15"/>
      <c r="D16" s="16"/>
      <c r="E16" s="330">
        <v>0.2</v>
      </c>
      <c r="F16" s="364"/>
      <c r="G16" s="347" t="e">
        <f>C16-$F$14</f>
        <v>#DIV/0!</v>
      </c>
      <c r="H16" s="361" t="e">
        <f>F17-F14</f>
        <v>#DIV/0!</v>
      </c>
    </row>
    <row r="17" spans="2:11" ht="16" x14ac:dyDescent="0.2">
      <c r="B17" s="76" t="s">
        <v>16</v>
      </c>
      <c r="C17" s="11"/>
      <c r="D17" s="12"/>
      <c r="E17" s="331">
        <v>0.02</v>
      </c>
      <c r="F17" s="365" t="e">
        <f>AVERAGE(C17:C19)</f>
        <v>#DIV/0!</v>
      </c>
      <c r="G17" s="346" t="e">
        <f>C17-$F$17</f>
        <v>#DIV/0!</v>
      </c>
      <c r="H17" s="362"/>
    </row>
    <row r="18" spans="2:11" ht="16" customHeight="1" x14ac:dyDescent="0.2">
      <c r="B18" s="78" t="s">
        <v>16</v>
      </c>
      <c r="C18" s="13"/>
      <c r="D18" s="14"/>
      <c r="E18" s="332">
        <v>0.02</v>
      </c>
      <c r="F18" s="363"/>
      <c r="G18" s="346" t="e">
        <f>C18-$F$17</f>
        <v>#DIV/0!</v>
      </c>
      <c r="H18" s="81"/>
    </row>
    <row r="19" spans="2:11" ht="17" thickBot="1" x14ac:dyDescent="0.25">
      <c r="B19" s="80" t="s">
        <v>16</v>
      </c>
      <c r="C19" s="15"/>
      <c r="D19" s="16"/>
      <c r="E19" s="333">
        <v>0.02</v>
      </c>
      <c r="F19" s="364"/>
      <c r="G19" s="347" t="e">
        <f>C19-$F$17</f>
        <v>#DIV/0!</v>
      </c>
      <c r="H19" s="361" t="e">
        <f>F20-F17</f>
        <v>#DIV/0!</v>
      </c>
    </row>
    <row r="20" spans="2:11" ht="16" x14ac:dyDescent="0.2">
      <c r="B20" s="76" t="s">
        <v>17</v>
      </c>
      <c r="C20" s="18"/>
      <c r="D20" s="17"/>
      <c r="E20" s="334">
        <v>2E-3</v>
      </c>
      <c r="F20" s="365" t="e">
        <f>AVERAGE(C20:C22)</f>
        <v>#DIV/0!</v>
      </c>
      <c r="G20" s="346" t="e">
        <f>C20-$F$20</f>
        <v>#DIV/0!</v>
      </c>
      <c r="H20" s="362"/>
    </row>
    <row r="21" spans="2:11" ht="16" x14ac:dyDescent="0.2">
      <c r="B21" s="78" t="s">
        <v>17</v>
      </c>
      <c r="C21" s="19"/>
      <c r="D21" s="14"/>
      <c r="E21" s="335">
        <v>2E-3</v>
      </c>
      <c r="F21" s="363"/>
      <c r="G21" s="346" t="e">
        <f>C21-$F$20</f>
        <v>#DIV/0!</v>
      </c>
      <c r="H21" s="81"/>
    </row>
    <row r="22" spans="2:11" ht="17" thickBot="1" x14ac:dyDescent="0.25">
      <c r="B22" s="80" t="s">
        <v>17</v>
      </c>
      <c r="C22" s="15"/>
      <c r="D22" s="16"/>
      <c r="E22" s="336">
        <v>2E-3</v>
      </c>
      <c r="F22" s="364"/>
      <c r="G22" s="347" t="e">
        <f>C22-$F$20</f>
        <v>#DIV/0!</v>
      </c>
      <c r="H22" s="361" t="e">
        <f>F23-F20</f>
        <v>#DIV/0!</v>
      </c>
    </row>
    <row r="23" spans="2:11" ht="16" x14ac:dyDescent="0.2">
      <c r="B23" s="76" t="s">
        <v>18</v>
      </c>
      <c r="C23" s="11"/>
      <c r="D23" s="17"/>
      <c r="E23" s="337">
        <v>2.0000000000000001E-4</v>
      </c>
      <c r="F23" s="365" t="e">
        <f>AVERAGE(C23:C25)</f>
        <v>#DIV/0!</v>
      </c>
      <c r="G23" s="346" t="e">
        <f>C23-$F$23</f>
        <v>#DIV/0!</v>
      </c>
      <c r="H23" s="362"/>
    </row>
    <row r="24" spans="2:11" ht="16" x14ac:dyDescent="0.2">
      <c r="B24" s="78" t="s">
        <v>18</v>
      </c>
      <c r="C24" s="13"/>
      <c r="D24" s="14"/>
      <c r="E24" s="338">
        <v>2.0000000000000001E-4</v>
      </c>
      <c r="F24" s="363"/>
      <c r="G24" s="346" t="e">
        <f>C24-$F$23</f>
        <v>#DIV/0!</v>
      </c>
      <c r="H24" s="79"/>
    </row>
    <row r="25" spans="2:11" ht="17" thickBot="1" x14ac:dyDescent="0.25">
      <c r="B25" s="80" t="s">
        <v>18</v>
      </c>
      <c r="C25" s="15"/>
      <c r="D25" s="16"/>
      <c r="E25" s="339">
        <v>2.0000000000000001E-4</v>
      </c>
      <c r="F25" s="364"/>
      <c r="G25" s="347" t="e">
        <f>C25-$F$23</f>
        <v>#DIV/0!</v>
      </c>
      <c r="H25" s="361" t="e">
        <f>F26-F23</f>
        <v>#DIV/0!</v>
      </c>
    </row>
    <row r="26" spans="2:11" ht="16" x14ac:dyDescent="0.2">
      <c r="B26" s="76" t="s">
        <v>19</v>
      </c>
      <c r="C26" s="11"/>
      <c r="D26" s="17"/>
      <c r="E26" s="340">
        <v>0</v>
      </c>
      <c r="F26" s="365" t="e">
        <f>AVERAGE(C26:C28)</f>
        <v>#DIV/0!</v>
      </c>
      <c r="G26" s="346" t="e">
        <f>C26-$F$26</f>
        <v>#DIV/0!</v>
      </c>
      <c r="H26" s="362"/>
    </row>
    <row r="27" spans="2:11" ht="16" x14ac:dyDescent="0.2">
      <c r="B27" s="78" t="s">
        <v>19</v>
      </c>
      <c r="C27" s="13"/>
      <c r="D27" s="14"/>
      <c r="E27" s="341">
        <v>0</v>
      </c>
      <c r="F27" s="363"/>
      <c r="G27" s="346" t="e">
        <f>C27-$F$26</f>
        <v>#DIV/0!</v>
      </c>
      <c r="H27" s="79"/>
    </row>
    <row r="28" spans="2:11" ht="17" thickBot="1" x14ac:dyDescent="0.25">
      <c r="B28" s="80" t="s">
        <v>19</v>
      </c>
      <c r="C28" s="15"/>
      <c r="D28" s="16"/>
      <c r="E28" s="342">
        <v>0</v>
      </c>
      <c r="F28" s="364"/>
      <c r="G28" s="348" t="e">
        <f>C28-$F$26</f>
        <v>#DIV/0!</v>
      </c>
      <c r="H28" s="82"/>
    </row>
    <row r="29" spans="2:11" ht="16" x14ac:dyDescent="0.2">
      <c r="B29" s="68"/>
      <c r="C29" s="4"/>
      <c r="D29" s="5"/>
      <c r="E29" s="83"/>
      <c r="F29" s="84"/>
      <c r="G29" s="5"/>
      <c r="H29" s="85"/>
      <c r="I29" s="85"/>
      <c r="J29" s="41"/>
      <c r="K29" s="86"/>
    </row>
    <row r="30" spans="2:11" ht="34" customHeight="1" thickBot="1" x14ac:dyDescent="0.25">
      <c r="B30" s="25" t="s">
        <v>20</v>
      </c>
      <c r="C30" s="4"/>
      <c r="D30" s="5"/>
      <c r="E30" s="83"/>
      <c r="F30" s="84"/>
      <c r="G30" s="5"/>
      <c r="H30" s="85"/>
      <c r="I30" s="85"/>
      <c r="J30" s="41"/>
      <c r="K30" s="86"/>
    </row>
    <row r="31" spans="2:11" ht="16" x14ac:dyDescent="0.2">
      <c r="B31" s="87"/>
      <c r="C31" s="88"/>
      <c r="D31" s="88"/>
      <c r="E31" s="89"/>
      <c r="F31" s="90"/>
      <c r="G31" s="91"/>
      <c r="H31" s="85"/>
      <c r="I31" s="85"/>
      <c r="J31" s="41"/>
      <c r="K31" s="86"/>
    </row>
    <row r="32" spans="2:11" ht="21" customHeight="1" x14ac:dyDescent="0.2">
      <c r="B32" s="92" t="s">
        <v>5</v>
      </c>
      <c r="C32" s="93" t="s">
        <v>8</v>
      </c>
      <c r="D32" s="93" t="s">
        <v>21</v>
      </c>
      <c r="E32" s="93" t="s">
        <v>9</v>
      </c>
      <c r="F32" s="93" t="s">
        <v>11</v>
      </c>
      <c r="G32" s="94"/>
      <c r="H32" s="85"/>
      <c r="I32" s="85"/>
      <c r="J32" s="41"/>
      <c r="K32" s="86"/>
    </row>
    <row r="33" spans="2:11" ht="16" x14ac:dyDescent="0.2">
      <c r="B33" s="95" t="s">
        <v>22</v>
      </c>
      <c r="C33" s="96">
        <f>E8</f>
        <v>20</v>
      </c>
      <c r="D33" s="343">
        <f>LOG(C33)</f>
        <v>1.3010299956639813</v>
      </c>
      <c r="E33" s="97" t="str">
        <f>IF(OR(ISNUMBER(C8),ISNUMBER(C9),ISNUMBER(C10)),AVERAGE(C8:C10),"")</f>
        <v/>
      </c>
      <c r="F33" s="98"/>
      <c r="G33" s="311"/>
      <c r="H33" s="310" t="e">
        <f t="shared" ref="H33:H38" si="0">IF(ISNUMBER(E33),E33,NA())</f>
        <v>#N/A</v>
      </c>
      <c r="I33" s="85"/>
      <c r="J33" s="41"/>
      <c r="K33" s="86"/>
    </row>
    <row r="34" spans="2:11" ht="16" x14ac:dyDescent="0.2">
      <c r="B34" s="95" t="s">
        <v>14</v>
      </c>
      <c r="C34" s="96">
        <f>E11</f>
        <v>2</v>
      </c>
      <c r="D34" s="343">
        <f>LOG(C34)</f>
        <v>0.3010299956639812</v>
      </c>
      <c r="E34" s="97" t="str">
        <f>IF(OR(ISNUMBER(C11),ISNUMBER(C12),ISNUMBER(C13)),AVERAGE(C11:C13),"")</f>
        <v/>
      </c>
      <c r="F34" s="99" t="e">
        <f>E34-E33</f>
        <v>#VALUE!</v>
      </c>
      <c r="G34" s="311"/>
      <c r="H34" s="310" t="e">
        <f t="shared" si="0"/>
        <v>#N/A</v>
      </c>
      <c r="I34" s="85"/>
      <c r="J34" s="41"/>
      <c r="K34" s="86"/>
    </row>
    <row r="35" spans="2:11" ht="16" x14ac:dyDescent="0.2">
      <c r="B35" s="95" t="s">
        <v>23</v>
      </c>
      <c r="C35" s="100">
        <f>E14</f>
        <v>0.2</v>
      </c>
      <c r="D35" s="343">
        <f>LOG(C35)</f>
        <v>-0.69897000433601875</v>
      </c>
      <c r="E35" s="97" t="str">
        <f>IF(OR(ISNUMBER(C14),ISNUMBER(C15),ISNUMBER(C16)),AVERAGE(C14:C16),"")</f>
        <v/>
      </c>
      <c r="F35" s="99" t="e">
        <f>E35-E34</f>
        <v>#VALUE!</v>
      </c>
      <c r="G35" s="311"/>
      <c r="H35" s="310" t="e">
        <f t="shared" si="0"/>
        <v>#N/A</v>
      </c>
      <c r="I35" s="85"/>
      <c r="J35" s="41"/>
      <c r="K35" s="86"/>
    </row>
    <row r="36" spans="2:11" ht="16" x14ac:dyDescent="0.2">
      <c r="B36" s="95" t="s">
        <v>16</v>
      </c>
      <c r="C36" s="101">
        <f>E17</f>
        <v>0.02</v>
      </c>
      <c r="D36" s="343">
        <f t="shared" ref="D36:D38" si="1">LOG(C36)</f>
        <v>-1.6989700043360187</v>
      </c>
      <c r="E36" s="97" t="str">
        <f>IF(OR(ISNUMBER(C17),ISNUMBER(C18),ISNUMBER(C19)),AVERAGE(C17:C19),"")</f>
        <v/>
      </c>
      <c r="F36" s="99" t="e">
        <f>E36-E35</f>
        <v>#VALUE!</v>
      </c>
      <c r="G36" s="311"/>
      <c r="H36" s="310" t="e">
        <f t="shared" si="0"/>
        <v>#N/A</v>
      </c>
      <c r="I36" s="85"/>
      <c r="J36" s="41"/>
      <c r="K36" s="86"/>
    </row>
    <row r="37" spans="2:11" ht="16" x14ac:dyDescent="0.2">
      <c r="B37" s="95" t="s">
        <v>17</v>
      </c>
      <c r="C37" s="102">
        <f>E20</f>
        <v>2E-3</v>
      </c>
      <c r="D37" s="343">
        <f t="shared" si="1"/>
        <v>-2.6989700043360187</v>
      </c>
      <c r="E37" s="97" t="str">
        <f>IF(OR(ISNUMBER(C20),ISNUMBER(C21),ISNUMBER(C22)),AVERAGE(C20:C22),"")</f>
        <v/>
      </c>
      <c r="F37" s="99" t="e">
        <f>E37-E36</f>
        <v>#VALUE!</v>
      </c>
      <c r="G37" s="311"/>
      <c r="H37" s="310" t="e">
        <f t="shared" si="0"/>
        <v>#N/A</v>
      </c>
      <c r="I37" s="85"/>
      <c r="J37" s="41"/>
      <c r="K37" s="86"/>
    </row>
    <row r="38" spans="2:11" ht="16" x14ac:dyDescent="0.2">
      <c r="B38" s="95" t="s">
        <v>18</v>
      </c>
      <c r="C38" s="103">
        <f>E23</f>
        <v>2.0000000000000001E-4</v>
      </c>
      <c r="D38" s="343">
        <f t="shared" si="1"/>
        <v>-3.6989700043360187</v>
      </c>
      <c r="E38" s="97" t="str">
        <f>IF(OR(ISNUMBER(C23),ISNUMBER(C24),ISNUMBER(C25)),AVERAGE(C23:C25),"")</f>
        <v/>
      </c>
      <c r="F38" s="99" t="e">
        <f>E38-E37</f>
        <v>#VALUE!</v>
      </c>
      <c r="G38" s="311"/>
      <c r="H38" s="310" t="e">
        <f t="shared" si="0"/>
        <v>#N/A</v>
      </c>
      <c r="I38" s="85"/>
      <c r="J38" s="41"/>
      <c r="K38" s="86"/>
    </row>
    <row r="39" spans="2:11" ht="16" x14ac:dyDescent="0.2">
      <c r="B39" s="321"/>
      <c r="C39" s="322"/>
      <c r="D39" s="344"/>
      <c r="E39" s="315"/>
      <c r="F39" s="316"/>
      <c r="G39" s="311"/>
      <c r="H39" s="310"/>
      <c r="I39" s="85"/>
      <c r="J39" s="41"/>
      <c r="K39" s="86"/>
    </row>
    <row r="40" spans="2:11" ht="16" x14ac:dyDescent="0.2">
      <c r="B40" s="349" t="s">
        <v>24</v>
      </c>
      <c r="C40" s="312" t="e" cm="1">
        <f t="array" ref="C40">POWER(10, 1/(-SLOPE(E33:E38, LOG(C33:C38))))-1</f>
        <v>#DIV/0!</v>
      </c>
      <c r="D40" s="47" t="s">
        <v>25</v>
      </c>
      <c r="F40" s="46"/>
      <c r="G40" s="104"/>
      <c r="H40" s="85"/>
      <c r="I40" s="85"/>
      <c r="J40" s="41"/>
      <c r="K40" s="86"/>
    </row>
    <row r="41" spans="2:11" ht="16" x14ac:dyDescent="0.2">
      <c r="B41" s="350" t="s">
        <v>26</v>
      </c>
      <c r="C41" s="105" t="e" cm="1">
        <f t="array" ref="C41">SLOPE(E33:E38, LOG(C33:C38))</f>
        <v>#DIV/0!</v>
      </c>
      <c r="D41" s="106"/>
      <c r="F41" s="46"/>
      <c r="G41" s="104"/>
      <c r="H41" s="85"/>
      <c r="I41" s="85"/>
      <c r="J41" s="41"/>
      <c r="K41" s="86"/>
    </row>
    <row r="42" spans="2:11" ht="16" x14ac:dyDescent="0.2">
      <c r="B42" s="350" t="s">
        <v>27</v>
      </c>
      <c r="C42" s="313" t="e" cm="1">
        <f t="array" ref="C42">RSQ(E33:E38, -LOG(C33:C38))</f>
        <v>#DIV/0!</v>
      </c>
      <c r="D42" s="47" t="s">
        <v>28</v>
      </c>
      <c r="F42" s="46"/>
      <c r="G42" s="104"/>
      <c r="H42" s="85"/>
      <c r="I42" s="85"/>
      <c r="J42" s="41"/>
      <c r="K42" s="86"/>
    </row>
    <row r="43" spans="2:11" ht="16" x14ac:dyDescent="0.2">
      <c r="B43" s="350" t="s">
        <v>29</v>
      </c>
      <c r="C43" s="314" t="e">
        <f>INTERCEPT(E33:E38,D33:D38)</f>
        <v>#DIV/0!</v>
      </c>
      <c r="D43" s="107"/>
      <c r="E43" s="106"/>
      <c r="F43" s="46"/>
      <c r="G43" s="104"/>
      <c r="H43" s="85"/>
      <c r="I43" s="85"/>
      <c r="J43" s="41"/>
      <c r="K43" s="86"/>
    </row>
    <row r="44" spans="2:11" ht="17" thickBot="1" x14ac:dyDescent="0.25">
      <c r="B44" s="317"/>
      <c r="C44" s="318"/>
      <c r="D44" s="318"/>
      <c r="E44" s="319"/>
      <c r="F44" s="318"/>
      <c r="G44" s="320"/>
      <c r="H44" s="85"/>
      <c r="I44" s="85"/>
      <c r="J44" s="41"/>
      <c r="K44" s="86"/>
    </row>
    <row r="45" spans="2:11" ht="16" x14ac:dyDescent="0.2">
      <c r="B45" s="68"/>
      <c r="C45" s="4"/>
      <c r="D45" s="5"/>
      <c r="E45" s="83"/>
      <c r="F45" s="84"/>
      <c r="G45" s="5"/>
      <c r="H45" s="85"/>
      <c r="I45" s="85"/>
      <c r="J45" s="41"/>
      <c r="K45" s="86"/>
    </row>
  </sheetData>
  <sheetProtection algorithmName="SHA-512" hashValue="f08niVpiL6OTQJn6ez8gW0NM/JpL0SD5xPi8VWRsIUfkTfWGSUWooZ86n30HPFhC0rRTwSqMGlx236b9vCgPsg==" saltValue="gSY+5xDjkmFyKB4Kj7oGqg==" spinCount="100000" sheet="1" objects="1" scenarios="1" selectLockedCells="1"/>
  <mergeCells count="13">
    <mergeCell ref="H22:H23"/>
    <mergeCell ref="H25:H26"/>
    <mergeCell ref="F8:F10"/>
    <mergeCell ref="F11:F13"/>
    <mergeCell ref="F14:F16"/>
    <mergeCell ref="F17:F19"/>
    <mergeCell ref="F20:F22"/>
    <mergeCell ref="F23:F25"/>
    <mergeCell ref="F26:F28"/>
    <mergeCell ref="H10:H11"/>
    <mergeCell ref="H13:H14"/>
    <mergeCell ref="H16:H17"/>
    <mergeCell ref="H19:H20"/>
  </mergeCells>
  <conditionalFormatting sqref="F34:F38">
    <cfRule type="cellIs" dxfId="31" priority="3" stopIfTrue="1" operator="notBetween">
      <formula>3.1</formula>
      <formula>3.6</formula>
    </cfRule>
  </conditionalFormatting>
  <conditionalFormatting sqref="G29:G30 G45">
    <cfRule type="cellIs" dxfId="30" priority="7" operator="equal">
      <formula>0</formula>
    </cfRule>
  </conditionalFormatting>
  <conditionalFormatting sqref="H10 H13:H14 H16:H17 H19:H20">
    <cfRule type="cellIs" dxfId="29" priority="5" stopIfTrue="1" operator="notBetween">
      <formula>3.1</formula>
      <formula>3.6</formula>
    </cfRule>
  </conditionalFormatting>
  <conditionalFormatting sqref="H22:H23">
    <cfRule type="cellIs" dxfId="28" priority="4" stopIfTrue="1" operator="notBetween">
      <formula>3.1</formula>
      <formula>3.6</formula>
    </cfRule>
  </conditionalFormatting>
  <conditionalFormatting sqref="H29:I45">
    <cfRule type="cellIs" dxfId="27" priority="6" stopIfTrue="1" operator="equal">
      <formula>-3</formula>
    </cfRule>
    <cfRule type="cellIs" dxfId="26" priority="8" operator="lessThan">
      <formula>0</formula>
    </cfRule>
  </conditionalFormatting>
  <dataValidations disablePrompts="1" count="1">
    <dataValidation type="list" allowBlank="1" showInputMessage="1" showErrorMessage="1" sqref="F29:F31 F45" xr:uid="{B5BBE523-0FD9-6449-A310-FE4AFEDD1520}">
      <formula1>$D$8:$D$12</formula1>
    </dataValidation>
  </dataValidations>
  <pageMargins left="0.7" right="0.7" top="0.75" bottom="0.75" header="0.3" footer="0.3"/>
  <pageSetup scale="61" orientation="landscape" horizontalDpi="90" verticalDpi="90" r:id="rId1"/>
  <headerFooter>
    <oddHeader>&amp;L&amp;G</oddHeader>
    <oddFooter>&amp;C2425 55th Street, Boulder, CO 80301 | archer-tech@idtdna.com
RA-DOC-064 / REV02
For research use only. Not for use in diagnostic procedures.</oddFoot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996F6C-1912-6A4B-ADD5-2018778003A1}">
  <sheetPr codeName="Sheet2">
    <pageSetUpPr fitToPage="1"/>
  </sheetPr>
  <dimension ref="A1:BG81"/>
  <sheetViews>
    <sheetView view="pageLayout" topLeftCell="A49" zoomScaleNormal="109" workbookViewId="0">
      <selection activeCell="D27" sqref="D27"/>
    </sheetView>
  </sheetViews>
  <sheetFormatPr baseColWidth="10" defaultColWidth="11.5" defaultRowHeight="13" x14ac:dyDescent="0.15"/>
  <cols>
    <col min="1" max="1" width="1.5" customWidth="1"/>
    <col min="2" max="2" width="19.6640625" customWidth="1"/>
    <col min="3" max="4" width="12.83203125" customWidth="1"/>
    <col min="5" max="5" width="13.83203125" customWidth="1"/>
    <col min="6" max="6" width="12.83203125" customWidth="1"/>
    <col min="7" max="7" width="11.5" customWidth="1"/>
    <col min="8" max="8" width="30.83203125" customWidth="1"/>
  </cols>
  <sheetData>
    <row r="1" spans="1:59" s="24" customFormat="1" ht="34" customHeight="1" x14ac:dyDescent="0.2">
      <c r="B1" s="30" t="s">
        <v>30</v>
      </c>
      <c r="C1" s="25"/>
      <c r="D1" s="25"/>
      <c r="E1" s="25"/>
      <c r="F1" s="72"/>
      <c r="G1" s="25"/>
      <c r="H1" s="25"/>
      <c r="I1" s="25"/>
      <c r="J1" s="25"/>
    </row>
    <row r="2" spans="1:59" s="24" customFormat="1" ht="20" customHeight="1" x14ac:dyDescent="0.2">
      <c r="B2" s="29" t="s">
        <v>31</v>
      </c>
      <c r="C2" s="25"/>
      <c r="D2" s="25"/>
      <c r="E2" s="25"/>
      <c r="F2" s="72"/>
      <c r="G2" s="25"/>
      <c r="H2" s="25"/>
      <c r="I2" s="25"/>
      <c r="J2" s="25"/>
    </row>
    <row r="3" spans="1:59" s="24" customFormat="1" ht="20" customHeight="1" x14ac:dyDescent="0.2">
      <c r="B3" s="109" t="s">
        <v>32</v>
      </c>
      <c r="C3" s="25"/>
      <c r="D3" s="25"/>
      <c r="E3" s="25"/>
      <c r="F3" s="72"/>
      <c r="G3" s="25"/>
      <c r="H3" s="25"/>
      <c r="I3" s="25"/>
      <c r="J3" s="25"/>
    </row>
    <row r="4" spans="1:59" s="24" customFormat="1" ht="20" customHeight="1" x14ac:dyDescent="0.2">
      <c r="B4" s="107" t="s">
        <v>33</v>
      </c>
      <c r="C4" s="25"/>
      <c r="D4" s="25"/>
      <c r="E4" s="25"/>
      <c r="F4" s="72"/>
      <c r="G4" s="25"/>
      <c r="H4" s="25"/>
      <c r="I4" s="25"/>
      <c r="J4" s="25"/>
    </row>
    <row r="5" spans="1:59" s="24" customFormat="1" ht="20" customHeight="1" thickBot="1" x14ac:dyDescent="0.25">
      <c r="B5" s="345"/>
      <c r="C5" s="25"/>
      <c r="D5" s="25"/>
      <c r="E5" s="25"/>
      <c r="F5" s="72"/>
      <c r="G5" s="25"/>
      <c r="H5" s="25"/>
      <c r="I5" s="25"/>
      <c r="J5" s="25"/>
    </row>
    <row r="6" spans="1:59" s="110" customFormat="1" ht="35" thickBot="1" x14ac:dyDescent="0.25">
      <c r="B6" s="55" t="s">
        <v>34</v>
      </c>
      <c r="C6" s="35" t="s">
        <v>6</v>
      </c>
      <c r="D6" s="35" t="s">
        <v>7</v>
      </c>
      <c r="E6" s="35" t="s">
        <v>9</v>
      </c>
      <c r="F6" s="35" t="s">
        <v>10</v>
      </c>
      <c r="G6" s="35" t="s">
        <v>35</v>
      </c>
      <c r="H6" s="111" t="s">
        <v>36</v>
      </c>
    </row>
    <row r="7" spans="1:59" s="110" customFormat="1" ht="16" x14ac:dyDescent="0.2">
      <c r="B7" s="378"/>
      <c r="C7" s="11"/>
      <c r="D7" s="20"/>
      <c r="E7" s="379" t="e">
        <f>AVERAGE(C7:C9)</f>
        <v>#DIV/0!</v>
      </c>
      <c r="F7" s="302" t="e">
        <f>C7-$E$7</f>
        <v>#DIV/0!</v>
      </c>
      <c r="G7" s="375" t="e">
        <f>(E7-'Library - Standard Curve'!$C$43)/'Library - Standard Curve'!$C$41</f>
        <v>#DIV/0!</v>
      </c>
      <c r="H7" s="372" t="e">
        <f>10^G7</f>
        <v>#DIV/0!</v>
      </c>
    </row>
    <row r="8" spans="1:59" s="110" customFormat="1" ht="16" x14ac:dyDescent="0.2">
      <c r="B8" s="366"/>
      <c r="C8" s="13"/>
      <c r="D8" s="21"/>
      <c r="E8" s="368"/>
      <c r="F8" s="302" t="e">
        <f>C8-$E$7</f>
        <v>#DIV/0!</v>
      </c>
      <c r="G8" s="370"/>
      <c r="H8" s="373"/>
    </row>
    <row r="9" spans="1:59" s="112" customFormat="1" ht="17" thickBot="1" x14ac:dyDescent="0.25">
      <c r="A9" s="110"/>
      <c r="B9" s="366"/>
      <c r="C9" s="13"/>
      <c r="D9" s="21"/>
      <c r="E9" s="368"/>
      <c r="F9" s="302" t="e">
        <f>C9-$E$7</f>
        <v>#DIV/0!</v>
      </c>
      <c r="G9" s="370"/>
      <c r="H9" s="373"/>
      <c r="I9" s="110"/>
      <c r="J9" s="110"/>
      <c r="K9" s="110"/>
      <c r="L9" s="110"/>
      <c r="M9" s="110"/>
      <c r="N9" s="110"/>
      <c r="O9" s="110"/>
      <c r="P9" s="110"/>
      <c r="Q9" s="110"/>
      <c r="R9" s="110"/>
      <c r="S9" s="110"/>
      <c r="T9" s="110"/>
      <c r="U9" s="110"/>
      <c r="V9" s="110"/>
      <c r="W9" s="110"/>
      <c r="X9" s="110"/>
      <c r="Y9" s="110"/>
      <c r="Z9" s="110"/>
      <c r="AA9" s="110"/>
      <c r="AB9" s="110"/>
      <c r="AC9" s="110"/>
      <c r="AD9" s="110"/>
      <c r="AE9" s="110"/>
      <c r="AF9" s="110"/>
      <c r="AG9" s="110"/>
      <c r="AH9" s="110"/>
      <c r="AI9" s="110"/>
      <c r="AJ9" s="110"/>
      <c r="AK9" s="110"/>
      <c r="AL9" s="110"/>
      <c r="AM9" s="110"/>
      <c r="AN9" s="110"/>
      <c r="AO9" s="110"/>
      <c r="AP9" s="110"/>
      <c r="AQ9" s="110"/>
      <c r="AR9" s="110"/>
      <c r="AS9" s="110"/>
      <c r="AT9" s="110"/>
      <c r="AU9" s="110"/>
      <c r="AV9" s="110"/>
      <c r="AW9" s="110"/>
      <c r="AX9" s="110"/>
      <c r="AY9" s="110"/>
      <c r="AZ9" s="110"/>
      <c r="BA9" s="110"/>
      <c r="BB9" s="110"/>
      <c r="BC9" s="110"/>
      <c r="BD9" s="110"/>
      <c r="BE9" s="110"/>
      <c r="BF9" s="110"/>
      <c r="BG9" s="110"/>
    </row>
    <row r="10" spans="1:59" s="110" customFormat="1" ht="16" x14ac:dyDescent="0.2">
      <c r="B10" s="366"/>
      <c r="C10" s="13"/>
      <c r="D10" s="21"/>
      <c r="E10" s="368" t="e">
        <f>AVERAGE(C10:C12)</f>
        <v>#DIV/0!</v>
      </c>
      <c r="F10" s="300" t="e">
        <f>C10-$E$10</f>
        <v>#DIV/0!</v>
      </c>
      <c r="G10" s="375" t="e">
        <f>(E10-'Library - Standard Curve'!$C$43)/'Library - Standard Curve'!$C$41</f>
        <v>#DIV/0!</v>
      </c>
      <c r="H10" s="372" t="e">
        <f>10^G10</f>
        <v>#DIV/0!</v>
      </c>
    </row>
    <row r="11" spans="1:59" s="110" customFormat="1" ht="16" x14ac:dyDescent="0.2">
      <c r="B11" s="366"/>
      <c r="C11" s="13"/>
      <c r="D11" s="21"/>
      <c r="E11" s="368"/>
      <c r="F11" s="300" t="e">
        <f>C11-$E$10</f>
        <v>#DIV/0!</v>
      </c>
      <c r="G11" s="370"/>
      <c r="H11" s="373"/>
      <c r="I11" s="113"/>
    </row>
    <row r="12" spans="1:59" s="112" customFormat="1" ht="17" thickBot="1" x14ac:dyDescent="0.25">
      <c r="A12" s="110"/>
      <c r="B12" s="366"/>
      <c r="C12" s="13"/>
      <c r="D12" s="21"/>
      <c r="E12" s="368"/>
      <c r="F12" s="300" t="e">
        <f>C12-$E$10</f>
        <v>#DIV/0!</v>
      </c>
      <c r="G12" s="370"/>
      <c r="H12" s="373"/>
      <c r="I12" s="110"/>
      <c r="J12" s="110"/>
      <c r="K12" s="110"/>
      <c r="L12" s="110"/>
      <c r="M12" s="110"/>
      <c r="N12" s="110"/>
      <c r="O12" s="110"/>
      <c r="P12" s="110"/>
      <c r="Q12" s="110"/>
      <c r="R12" s="110"/>
      <c r="S12" s="110"/>
      <c r="T12" s="110"/>
      <c r="U12" s="110"/>
      <c r="V12" s="110"/>
      <c r="W12" s="110"/>
      <c r="X12" s="110"/>
      <c r="Y12" s="110"/>
      <c r="Z12" s="110"/>
      <c r="AA12" s="110"/>
      <c r="AB12" s="110"/>
      <c r="AC12" s="110"/>
      <c r="AD12" s="110"/>
      <c r="AE12" s="110"/>
      <c r="AF12" s="110"/>
      <c r="AG12" s="110"/>
      <c r="AH12" s="110"/>
      <c r="AI12" s="110"/>
      <c r="AJ12" s="110"/>
      <c r="AK12" s="110"/>
      <c r="AL12" s="110"/>
      <c r="AM12" s="110"/>
      <c r="AN12" s="110"/>
      <c r="AO12" s="110"/>
      <c r="AP12" s="110"/>
      <c r="AQ12" s="110"/>
      <c r="AR12" s="110"/>
      <c r="AS12" s="110"/>
      <c r="AT12" s="110"/>
      <c r="AU12" s="110"/>
      <c r="AV12" s="110"/>
      <c r="AW12" s="110"/>
      <c r="AX12" s="110"/>
      <c r="AY12" s="110"/>
      <c r="AZ12" s="110"/>
      <c r="BA12" s="110"/>
      <c r="BB12" s="110"/>
      <c r="BC12" s="110"/>
      <c r="BD12" s="110"/>
      <c r="BE12" s="110"/>
      <c r="BF12" s="110"/>
      <c r="BG12" s="110"/>
    </row>
    <row r="13" spans="1:59" s="110" customFormat="1" ht="16" x14ac:dyDescent="0.2">
      <c r="B13" s="366"/>
      <c r="C13" s="13"/>
      <c r="D13" s="21"/>
      <c r="E13" s="368" t="e">
        <f>AVERAGE(C13:C15)</f>
        <v>#DIV/0!</v>
      </c>
      <c r="F13" s="300" t="e">
        <f>C13-$E$13</f>
        <v>#DIV/0!</v>
      </c>
      <c r="G13" s="375" t="e">
        <f>(E13-'Library - Standard Curve'!$C$43)/'Library - Standard Curve'!$C$41</f>
        <v>#DIV/0!</v>
      </c>
      <c r="H13" s="372" t="e">
        <f>10^G13</f>
        <v>#DIV/0!</v>
      </c>
    </row>
    <row r="14" spans="1:59" s="110" customFormat="1" ht="16" x14ac:dyDescent="0.2">
      <c r="B14" s="366"/>
      <c r="C14" s="13"/>
      <c r="D14" s="21"/>
      <c r="E14" s="368"/>
      <c r="F14" s="300" t="e">
        <f>C14-$E$13</f>
        <v>#DIV/0!</v>
      </c>
      <c r="G14" s="370"/>
      <c r="H14" s="373"/>
    </row>
    <row r="15" spans="1:59" s="112" customFormat="1" ht="17" thickBot="1" x14ac:dyDescent="0.25">
      <c r="A15" s="110"/>
      <c r="B15" s="366"/>
      <c r="C15" s="13"/>
      <c r="D15" s="21"/>
      <c r="E15" s="368"/>
      <c r="F15" s="300" t="e">
        <f>C15-$E$13</f>
        <v>#DIV/0!</v>
      </c>
      <c r="G15" s="370"/>
      <c r="H15" s="373"/>
      <c r="I15" s="110"/>
      <c r="J15" s="110"/>
      <c r="K15" s="110"/>
      <c r="L15" s="110"/>
      <c r="M15" s="110"/>
      <c r="N15" s="110"/>
      <c r="O15" s="110"/>
      <c r="P15" s="110"/>
      <c r="Q15" s="110"/>
      <c r="R15" s="110"/>
      <c r="S15" s="110"/>
      <c r="T15" s="110"/>
      <c r="U15" s="110"/>
      <c r="V15" s="110"/>
      <c r="W15" s="110"/>
      <c r="X15" s="110"/>
      <c r="Y15" s="110"/>
      <c r="Z15" s="110"/>
      <c r="AA15" s="110"/>
      <c r="AB15" s="110"/>
      <c r="AC15" s="110"/>
      <c r="AD15" s="110"/>
      <c r="AE15" s="110"/>
      <c r="AF15" s="110"/>
      <c r="AG15" s="110"/>
      <c r="AH15" s="110"/>
      <c r="AI15" s="110"/>
      <c r="AJ15" s="110"/>
      <c r="AK15" s="110"/>
      <c r="AL15" s="110"/>
      <c r="AM15" s="110"/>
      <c r="AN15" s="110"/>
      <c r="AO15" s="110"/>
      <c r="AP15" s="110"/>
      <c r="AQ15" s="110"/>
      <c r="AR15" s="110"/>
      <c r="AS15" s="110"/>
      <c r="AT15" s="110"/>
      <c r="AU15" s="110"/>
      <c r="AV15" s="110"/>
      <c r="AW15" s="110"/>
      <c r="AX15" s="110"/>
      <c r="AY15" s="110"/>
      <c r="AZ15" s="110"/>
      <c r="BA15" s="110"/>
      <c r="BB15" s="110"/>
      <c r="BC15" s="110"/>
      <c r="BD15" s="110"/>
      <c r="BE15" s="110"/>
      <c r="BF15" s="110"/>
      <c r="BG15" s="110"/>
    </row>
    <row r="16" spans="1:59" s="110" customFormat="1" ht="16" x14ac:dyDescent="0.2">
      <c r="B16" s="366"/>
      <c r="C16" s="13"/>
      <c r="D16" s="21"/>
      <c r="E16" s="368" t="e">
        <f>AVERAGE(C16:C18)</f>
        <v>#DIV/0!</v>
      </c>
      <c r="F16" s="300" t="e">
        <f>C16-$E$16</f>
        <v>#DIV/0!</v>
      </c>
      <c r="G16" s="375" t="e">
        <f>(E16-'Library - Standard Curve'!$C$43)/'Library - Standard Curve'!$C$41</f>
        <v>#DIV/0!</v>
      </c>
      <c r="H16" s="372" t="e">
        <f>10^G16</f>
        <v>#DIV/0!</v>
      </c>
    </row>
    <row r="17" spans="1:59" s="110" customFormat="1" ht="16" x14ac:dyDescent="0.2">
      <c r="B17" s="366"/>
      <c r="C17" s="13"/>
      <c r="D17" s="21"/>
      <c r="E17" s="368"/>
      <c r="F17" s="300" t="e">
        <f>C17-$E$16</f>
        <v>#DIV/0!</v>
      </c>
      <c r="G17" s="370"/>
      <c r="H17" s="373"/>
    </row>
    <row r="18" spans="1:59" s="112" customFormat="1" ht="17" thickBot="1" x14ac:dyDescent="0.25">
      <c r="A18" s="110"/>
      <c r="B18" s="366"/>
      <c r="C18" s="13"/>
      <c r="D18" s="21"/>
      <c r="E18" s="368"/>
      <c r="F18" s="300" t="e">
        <f>C18-$E$16</f>
        <v>#DIV/0!</v>
      </c>
      <c r="G18" s="370"/>
      <c r="H18" s="373"/>
      <c r="I18" s="110"/>
      <c r="J18" s="110"/>
      <c r="K18" s="110"/>
      <c r="L18" s="110"/>
      <c r="M18" s="110"/>
      <c r="N18" s="110"/>
      <c r="O18" s="110"/>
      <c r="P18" s="110"/>
      <c r="Q18" s="110"/>
      <c r="R18" s="110"/>
      <c r="S18" s="110"/>
      <c r="T18" s="110"/>
      <c r="U18" s="110"/>
      <c r="V18" s="110"/>
      <c r="W18" s="110"/>
      <c r="X18" s="110"/>
      <c r="Y18" s="110"/>
      <c r="Z18" s="110"/>
      <c r="AA18" s="110"/>
      <c r="AB18" s="110"/>
      <c r="AC18" s="110"/>
      <c r="AD18" s="110"/>
      <c r="AE18" s="110"/>
      <c r="AF18" s="110"/>
      <c r="AG18" s="110"/>
      <c r="AH18" s="110"/>
      <c r="AI18" s="110"/>
      <c r="AJ18" s="110"/>
      <c r="AK18" s="110"/>
      <c r="AL18" s="110"/>
      <c r="AM18" s="110"/>
      <c r="AN18" s="110"/>
      <c r="AO18" s="110"/>
      <c r="AP18" s="110"/>
      <c r="AQ18" s="110"/>
      <c r="AR18" s="110"/>
      <c r="AS18" s="110"/>
      <c r="AT18" s="110"/>
      <c r="AU18" s="110"/>
      <c r="AV18" s="110"/>
      <c r="AW18" s="110"/>
      <c r="AX18" s="110"/>
      <c r="AY18" s="110"/>
      <c r="AZ18" s="110"/>
      <c r="BA18" s="110"/>
      <c r="BB18" s="110"/>
      <c r="BC18" s="110"/>
      <c r="BD18" s="110"/>
      <c r="BE18" s="110"/>
      <c r="BF18" s="110"/>
      <c r="BG18" s="110"/>
    </row>
    <row r="19" spans="1:59" s="110" customFormat="1" ht="16" x14ac:dyDescent="0.2">
      <c r="B19" s="366"/>
      <c r="C19" s="13"/>
      <c r="D19" s="21"/>
      <c r="E19" s="368" t="e">
        <f>AVERAGE(C19:C21)</f>
        <v>#DIV/0!</v>
      </c>
      <c r="F19" s="300" t="e">
        <f>C19-$E$19</f>
        <v>#DIV/0!</v>
      </c>
      <c r="G19" s="375" t="e">
        <f>(E19-'Library - Standard Curve'!$C$43)/'Library - Standard Curve'!$C$41</f>
        <v>#DIV/0!</v>
      </c>
      <c r="H19" s="372" t="e">
        <f>10^G19</f>
        <v>#DIV/0!</v>
      </c>
    </row>
    <row r="20" spans="1:59" s="110" customFormat="1" ht="16" x14ac:dyDescent="0.2">
      <c r="B20" s="366"/>
      <c r="C20" s="13"/>
      <c r="D20" s="21"/>
      <c r="E20" s="368"/>
      <c r="F20" s="300" t="e">
        <f>C20-$E$19</f>
        <v>#DIV/0!</v>
      </c>
      <c r="G20" s="370"/>
      <c r="H20" s="373"/>
    </row>
    <row r="21" spans="1:59" s="112" customFormat="1" ht="17" thickBot="1" x14ac:dyDescent="0.25">
      <c r="A21" s="110"/>
      <c r="B21" s="366"/>
      <c r="C21" s="13"/>
      <c r="D21" s="21"/>
      <c r="E21" s="368"/>
      <c r="F21" s="300" t="e">
        <f>C21-$E$19</f>
        <v>#DIV/0!</v>
      </c>
      <c r="G21" s="370"/>
      <c r="H21" s="373"/>
      <c r="I21" s="110"/>
      <c r="J21" s="110"/>
      <c r="K21" s="110"/>
      <c r="L21" s="110"/>
      <c r="M21" s="110"/>
      <c r="N21" s="110"/>
      <c r="O21" s="110"/>
      <c r="P21" s="110"/>
      <c r="Q21" s="110"/>
      <c r="R21" s="110"/>
      <c r="S21" s="110"/>
      <c r="T21" s="110"/>
      <c r="U21" s="110"/>
      <c r="V21" s="110"/>
      <c r="W21" s="110"/>
      <c r="X21" s="110"/>
      <c r="Y21" s="110"/>
      <c r="Z21" s="110"/>
      <c r="AA21" s="110"/>
      <c r="AB21" s="110"/>
      <c r="AC21" s="110"/>
      <c r="AD21" s="110"/>
      <c r="AE21" s="110"/>
      <c r="AF21" s="110"/>
      <c r="AG21" s="110"/>
      <c r="AH21" s="110"/>
      <c r="AI21" s="110"/>
      <c r="AJ21" s="110"/>
      <c r="AK21" s="110"/>
      <c r="AL21" s="110"/>
      <c r="AM21" s="110"/>
      <c r="AN21" s="110"/>
      <c r="AO21" s="110"/>
      <c r="AP21" s="110"/>
      <c r="AQ21" s="110"/>
      <c r="AR21" s="110"/>
      <c r="AS21" s="110"/>
      <c r="AT21" s="110"/>
      <c r="AU21" s="110"/>
      <c r="AV21" s="110"/>
      <c r="AW21" s="110"/>
      <c r="AX21" s="110"/>
      <c r="AY21" s="110"/>
      <c r="AZ21" s="110"/>
      <c r="BA21" s="110"/>
      <c r="BB21" s="110"/>
      <c r="BC21" s="110"/>
      <c r="BD21" s="110"/>
      <c r="BE21" s="110"/>
      <c r="BF21" s="110"/>
      <c r="BG21" s="110"/>
    </row>
    <row r="22" spans="1:59" s="110" customFormat="1" ht="16" x14ac:dyDescent="0.2">
      <c r="B22" s="366"/>
      <c r="C22" s="13"/>
      <c r="D22" s="21"/>
      <c r="E22" s="368" t="e">
        <f>AVERAGE(C22:C24)</f>
        <v>#DIV/0!</v>
      </c>
      <c r="F22" s="300" t="e">
        <f>C22-$E$22</f>
        <v>#DIV/0!</v>
      </c>
      <c r="G22" s="375" t="e">
        <f>(E22-'Library - Standard Curve'!$C$43)/'Library - Standard Curve'!$C$41</f>
        <v>#DIV/0!</v>
      </c>
      <c r="H22" s="372" t="e">
        <f>10^G22</f>
        <v>#DIV/0!</v>
      </c>
    </row>
    <row r="23" spans="1:59" s="110" customFormat="1" ht="16" x14ac:dyDescent="0.2">
      <c r="B23" s="366"/>
      <c r="C23" s="13"/>
      <c r="D23" s="21"/>
      <c r="E23" s="368"/>
      <c r="F23" s="300" t="e">
        <f>C23-$E$22</f>
        <v>#DIV/0!</v>
      </c>
      <c r="G23" s="370"/>
      <c r="H23" s="373"/>
    </row>
    <row r="24" spans="1:59" s="114" customFormat="1" ht="17" thickBot="1" x14ac:dyDescent="0.25">
      <c r="A24" s="110"/>
      <c r="B24" s="366"/>
      <c r="C24" s="13"/>
      <c r="D24" s="21"/>
      <c r="E24" s="368"/>
      <c r="F24" s="300" t="e">
        <f>C24-$E$22</f>
        <v>#DIV/0!</v>
      </c>
      <c r="G24" s="370"/>
      <c r="H24" s="373"/>
      <c r="I24" s="110"/>
      <c r="J24" s="110"/>
      <c r="K24" s="110"/>
      <c r="L24" s="110"/>
      <c r="M24" s="110"/>
      <c r="N24" s="110"/>
      <c r="O24" s="110"/>
      <c r="P24" s="110"/>
      <c r="Q24" s="110"/>
      <c r="R24" s="110"/>
      <c r="S24" s="110"/>
      <c r="T24" s="110"/>
      <c r="U24" s="110"/>
      <c r="V24" s="110"/>
      <c r="W24" s="110"/>
      <c r="X24" s="110"/>
      <c r="Y24" s="110"/>
      <c r="Z24" s="110"/>
      <c r="AA24" s="110"/>
      <c r="AB24" s="110"/>
      <c r="AC24" s="110"/>
      <c r="AD24" s="110"/>
      <c r="AE24" s="110"/>
      <c r="AF24" s="110"/>
      <c r="AG24" s="110"/>
      <c r="AH24" s="110"/>
      <c r="AI24" s="110"/>
      <c r="AJ24" s="110"/>
      <c r="AK24" s="110"/>
      <c r="AL24" s="110"/>
      <c r="AM24" s="110"/>
      <c r="AN24" s="110"/>
      <c r="AO24" s="110"/>
      <c r="AP24" s="110"/>
      <c r="AQ24" s="110"/>
      <c r="AR24" s="110"/>
      <c r="AS24" s="110"/>
      <c r="AT24" s="110"/>
      <c r="AU24" s="110"/>
      <c r="AV24" s="110"/>
      <c r="AW24" s="110"/>
      <c r="AX24" s="110"/>
      <c r="AY24" s="110"/>
      <c r="AZ24" s="110"/>
      <c r="BA24" s="110"/>
      <c r="BB24" s="110"/>
      <c r="BC24" s="110"/>
      <c r="BD24" s="110"/>
      <c r="BE24" s="110"/>
      <c r="BF24" s="110"/>
      <c r="BG24" s="110"/>
    </row>
    <row r="25" spans="1:59" s="110" customFormat="1" ht="16" x14ac:dyDescent="0.2">
      <c r="B25" s="366"/>
      <c r="C25" s="13"/>
      <c r="D25" s="21"/>
      <c r="E25" s="368" t="e">
        <f>AVERAGE(C25:C27)</f>
        <v>#DIV/0!</v>
      </c>
      <c r="F25" s="300" t="e">
        <f>C25-$E$25</f>
        <v>#DIV/0!</v>
      </c>
      <c r="G25" s="375" t="e">
        <f>(E25-'Library - Standard Curve'!$C$43)/'Library - Standard Curve'!$C$41</f>
        <v>#DIV/0!</v>
      </c>
      <c r="H25" s="372" t="e">
        <f>10^G25</f>
        <v>#DIV/0!</v>
      </c>
    </row>
    <row r="26" spans="1:59" s="110" customFormat="1" ht="16" x14ac:dyDescent="0.2">
      <c r="B26" s="366"/>
      <c r="C26" s="13"/>
      <c r="D26" s="21"/>
      <c r="E26" s="368"/>
      <c r="F26" s="300" t="e">
        <f>C26-$E$25</f>
        <v>#DIV/0!</v>
      </c>
      <c r="G26" s="370"/>
      <c r="H26" s="373"/>
    </row>
    <row r="27" spans="1:59" s="112" customFormat="1" ht="17" thickBot="1" x14ac:dyDescent="0.25">
      <c r="A27" s="110"/>
      <c r="B27" s="366"/>
      <c r="C27" s="13"/>
      <c r="D27" s="21"/>
      <c r="E27" s="368"/>
      <c r="F27" s="300" t="e">
        <f>C27-$E$25</f>
        <v>#DIV/0!</v>
      </c>
      <c r="G27" s="370"/>
      <c r="H27" s="373"/>
      <c r="I27" s="110"/>
      <c r="J27" s="110"/>
      <c r="K27" s="110"/>
      <c r="L27" s="110"/>
      <c r="M27" s="110"/>
      <c r="N27" s="110"/>
      <c r="O27" s="110"/>
      <c r="P27" s="110"/>
      <c r="Q27" s="110"/>
      <c r="R27" s="110"/>
      <c r="S27" s="110"/>
      <c r="T27" s="110"/>
      <c r="U27" s="110"/>
      <c r="V27" s="110"/>
      <c r="W27" s="110"/>
      <c r="X27" s="110"/>
      <c r="Y27" s="110"/>
      <c r="Z27" s="110"/>
      <c r="AA27" s="110"/>
      <c r="AB27" s="110"/>
      <c r="AC27" s="110"/>
      <c r="AD27" s="110"/>
      <c r="AE27" s="110"/>
      <c r="AF27" s="110"/>
      <c r="AG27" s="110"/>
      <c r="AH27" s="110"/>
      <c r="AI27" s="110"/>
      <c r="AJ27" s="110"/>
      <c r="AK27" s="110"/>
      <c r="AL27" s="110"/>
      <c r="AM27" s="110"/>
      <c r="AN27" s="110"/>
      <c r="AO27" s="110"/>
      <c r="AP27" s="110"/>
      <c r="AQ27" s="110"/>
      <c r="AR27" s="110"/>
      <c r="AS27" s="110"/>
      <c r="AT27" s="110"/>
      <c r="AU27" s="110"/>
      <c r="AV27" s="110"/>
      <c r="AW27" s="110"/>
      <c r="AX27" s="110"/>
      <c r="AY27" s="110"/>
      <c r="AZ27" s="110"/>
      <c r="BA27" s="110"/>
      <c r="BB27" s="110"/>
      <c r="BC27" s="110"/>
      <c r="BD27" s="110"/>
      <c r="BE27" s="110"/>
      <c r="BF27" s="110"/>
      <c r="BG27" s="110"/>
    </row>
    <row r="28" spans="1:59" s="110" customFormat="1" ht="16" x14ac:dyDescent="0.2">
      <c r="B28" s="366"/>
      <c r="C28" s="13"/>
      <c r="D28" s="21"/>
      <c r="E28" s="368" t="e">
        <f>AVERAGE(C28:C30)</f>
        <v>#DIV/0!</v>
      </c>
      <c r="F28" s="300" t="e">
        <f>C28-$E$28</f>
        <v>#DIV/0!</v>
      </c>
      <c r="G28" s="375" t="e">
        <f>(E28-'Library - Standard Curve'!$C$43)/'Library - Standard Curve'!$C$41</f>
        <v>#DIV/0!</v>
      </c>
      <c r="H28" s="372" t="e">
        <f>10^G28</f>
        <v>#DIV/0!</v>
      </c>
    </row>
    <row r="29" spans="1:59" s="110" customFormat="1" ht="16" x14ac:dyDescent="0.2">
      <c r="B29" s="366"/>
      <c r="C29" s="13"/>
      <c r="D29" s="21"/>
      <c r="E29" s="368"/>
      <c r="F29" s="300" t="e">
        <f>C29-$E$28</f>
        <v>#DIV/0!</v>
      </c>
      <c r="G29" s="370"/>
      <c r="H29" s="373"/>
    </row>
    <row r="30" spans="1:59" s="110" customFormat="1" ht="16" x14ac:dyDescent="0.2">
      <c r="B30" s="366"/>
      <c r="C30" s="13"/>
      <c r="D30" s="21"/>
      <c r="E30" s="368"/>
      <c r="F30" s="300" t="e">
        <f>C30-$E$28</f>
        <v>#DIV/0!</v>
      </c>
      <c r="G30" s="370"/>
      <c r="H30" s="373"/>
    </row>
    <row r="31" spans="1:59" s="115" customFormat="1" ht="16" x14ac:dyDescent="0.2">
      <c r="B31" s="376"/>
      <c r="C31" s="13"/>
      <c r="D31" s="22"/>
      <c r="E31" s="377" t="e">
        <f>AVERAGE(C31:C33)</f>
        <v>#DIV/0!</v>
      </c>
      <c r="F31" s="300" t="e">
        <f>C31-$E$31</f>
        <v>#DIV/0!</v>
      </c>
      <c r="G31" s="375" t="e">
        <f>(E31-'Library - Standard Curve'!$C$43)/'Library - Standard Curve'!$C$41</f>
        <v>#DIV/0!</v>
      </c>
      <c r="H31" s="372" t="e">
        <f>10^G31</f>
        <v>#DIV/0!</v>
      </c>
      <c r="I31" s="116"/>
    </row>
    <row r="32" spans="1:59" s="110" customFormat="1" ht="16" x14ac:dyDescent="0.2">
      <c r="B32" s="376"/>
      <c r="C32" s="13"/>
      <c r="D32" s="21"/>
      <c r="E32" s="377"/>
      <c r="F32" s="300" t="e">
        <f>C32-$E$31</f>
        <v>#DIV/0!</v>
      </c>
      <c r="G32" s="370"/>
      <c r="H32" s="373"/>
    </row>
    <row r="33" spans="1:59" s="112" customFormat="1" ht="17" thickBot="1" x14ac:dyDescent="0.25">
      <c r="A33" s="110"/>
      <c r="B33" s="376"/>
      <c r="C33" s="13"/>
      <c r="D33" s="21"/>
      <c r="E33" s="377"/>
      <c r="F33" s="300" t="e">
        <f>C33-$E$31</f>
        <v>#DIV/0!</v>
      </c>
      <c r="G33" s="370"/>
      <c r="H33" s="373"/>
      <c r="I33" s="110"/>
      <c r="J33" s="110"/>
      <c r="K33" s="110"/>
      <c r="L33" s="110"/>
      <c r="M33" s="110"/>
      <c r="N33" s="110"/>
      <c r="O33" s="110"/>
      <c r="P33" s="110"/>
      <c r="Q33" s="110"/>
      <c r="R33" s="110"/>
      <c r="S33" s="110"/>
      <c r="T33" s="110"/>
      <c r="U33" s="110"/>
      <c r="V33" s="110"/>
      <c r="W33" s="110"/>
      <c r="X33" s="110"/>
      <c r="Y33" s="110"/>
      <c r="Z33" s="110"/>
      <c r="AA33" s="110"/>
      <c r="AB33" s="110"/>
      <c r="AC33" s="110"/>
      <c r="AD33" s="110"/>
      <c r="AE33" s="110"/>
      <c r="AF33" s="110"/>
      <c r="AG33" s="110"/>
      <c r="AH33" s="110"/>
      <c r="AI33" s="110"/>
      <c r="AJ33" s="110"/>
      <c r="AK33" s="110"/>
      <c r="AL33" s="110"/>
      <c r="AM33" s="110"/>
      <c r="AN33" s="110"/>
      <c r="AO33" s="110"/>
      <c r="AP33" s="110"/>
      <c r="AQ33" s="110"/>
      <c r="AR33" s="110"/>
      <c r="AS33" s="110"/>
      <c r="AT33" s="110"/>
      <c r="AU33" s="110"/>
      <c r="AV33" s="110"/>
      <c r="AW33" s="110"/>
      <c r="AX33" s="110"/>
      <c r="AY33" s="110"/>
      <c r="AZ33" s="110"/>
      <c r="BA33" s="110"/>
      <c r="BB33" s="110"/>
      <c r="BC33" s="110"/>
      <c r="BD33" s="110"/>
      <c r="BE33" s="110"/>
      <c r="BF33" s="110"/>
      <c r="BG33" s="110"/>
    </row>
    <row r="34" spans="1:59" s="110" customFormat="1" ht="16" x14ac:dyDescent="0.2">
      <c r="B34" s="366"/>
      <c r="C34" s="13"/>
      <c r="D34" s="21"/>
      <c r="E34" s="368" t="e">
        <f>AVERAGE(C34:C36)</f>
        <v>#DIV/0!</v>
      </c>
      <c r="F34" s="300" t="e">
        <f>C34-$E$34</f>
        <v>#DIV/0!</v>
      </c>
      <c r="G34" s="375" t="e">
        <f>(E34-'Library - Standard Curve'!$C$43)/'Library - Standard Curve'!$C$41</f>
        <v>#DIV/0!</v>
      </c>
      <c r="H34" s="372" t="e">
        <f>10^G34</f>
        <v>#DIV/0!</v>
      </c>
    </row>
    <row r="35" spans="1:59" s="110" customFormat="1" ht="16" x14ac:dyDescent="0.2">
      <c r="B35" s="366"/>
      <c r="C35" s="13"/>
      <c r="D35" s="21"/>
      <c r="E35" s="368"/>
      <c r="F35" s="300" t="e">
        <f>C35-$E$34</f>
        <v>#DIV/0!</v>
      </c>
      <c r="G35" s="370"/>
      <c r="H35" s="373"/>
    </row>
    <row r="36" spans="1:59" s="112" customFormat="1" ht="17" thickBot="1" x14ac:dyDescent="0.25">
      <c r="A36" s="110"/>
      <c r="B36" s="366"/>
      <c r="C36" s="13"/>
      <c r="D36" s="21"/>
      <c r="E36" s="368"/>
      <c r="F36" s="300" t="e">
        <f>C36-$E$34</f>
        <v>#DIV/0!</v>
      </c>
      <c r="G36" s="370"/>
      <c r="H36" s="373"/>
      <c r="I36" s="110"/>
      <c r="J36" s="110"/>
      <c r="K36" s="110"/>
      <c r="L36" s="110"/>
      <c r="M36" s="110"/>
      <c r="N36" s="110"/>
      <c r="O36" s="110"/>
      <c r="P36" s="110"/>
      <c r="Q36" s="110"/>
      <c r="R36" s="110"/>
      <c r="S36" s="110"/>
      <c r="T36" s="110"/>
      <c r="U36" s="110"/>
      <c r="V36" s="110"/>
      <c r="W36" s="110"/>
      <c r="X36" s="110"/>
      <c r="Y36" s="110"/>
      <c r="Z36" s="110"/>
      <c r="AA36" s="110"/>
      <c r="AB36" s="110"/>
      <c r="AC36" s="110"/>
      <c r="AD36" s="110"/>
      <c r="AE36" s="110"/>
      <c r="AF36" s="110"/>
      <c r="AG36" s="110"/>
      <c r="AH36" s="110"/>
      <c r="AI36" s="110"/>
      <c r="AJ36" s="110"/>
      <c r="AK36" s="110"/>
      <c r="AL36" s="110"/>
      <c r="AM36" s="110"/>
      <c r="AN36" s="110"/>
      <c r="AO36" s="110"/>
      <c r="AP36" s="110"/>
      <c r="AQ36" s="110"/>
      <c r="AR36" s="110"/>
      <c r="AS36" s="110"/>
      <c r="AT36" s="110"/>
      <c r="AU36" s="110"/>
      <c r="AV36" s="110"/>
      <c r="AW36" s="110"/>
      <c r="AX36" s="110"/>
      <c r="AY36" s="110"/>
      <c r="AZ36" s="110"/>
      <c r="BA36" s="110"/>
      <c r="BB36" s="110"/>
      <c r="BC36" s="110"/>
      <c r="BD36" s="110"/>
      <c r="BE36" s="110"/>
      <c r="BF36" s="110"/>
      <c r="BG36" s="110"/>
    </row>
    <row r="37" spans="1:59" s="117" customFormat="1" ht="16" x14ac:dyDescent="0.2">
      <c r="A37" s="115"/>
      <c r="B37" s="376"/>
      <c r="C37" s="13"/>
      <c r="D37" s="22"/>
      <c r="E37" s="377" t="e">
        <f>AVERAGE(C37:C39)</f>
        <v>#DIV/0!</v>
      </c>
      <c r="F37" s="300" t="e">
        <f>C37-$E$37</f>
        <v>#DIV/0!</v>
      </c>
      <c r="G37" s="375" t="e">
        <f>(E37-'Library - Standard Curve'!$C$43)/'Library - Standard Curve'!$C$41</f>
        <v>#DIV/0!</v>
      </c>
      <c r="H37" s="372" t="e">
        <f>10^G37</f>
        <v>#DIV/0!</v>
      </c>
      <c r="I37" s="116"/>
      <c r="J37" s="115"/>
      <c r="K37" s="115"/>
      <c r="L37" s="115"/>
      <c r="M37" s="115"/>
      <c r="N37" s="115"/>
      <c r="O37" s="115"/>
      <c r="P37" s="115"/>
      <c r="Q37" s="115"/>
      <c r="R37" s="115"/>
      <c r="S37" s="115"/>
      <c r="T37" s="115"/>
      <c r="U37" s="115"/>
      <c r="V37" s="115"/>
      <c r="W37" s="115"/>
      <c r="X37" s="115"/>
      <c r="Y37" s="115"/>
      <c r="Z37" s="115"/>
      <c r="AA37" s="115"/>
      <c r="AB37" s="115"/>
      <c r="AC37" s="115"/>
      <c r="AD37" s="115"/>
      <c r="AE37" s="115"/>
      <c r="AF37" s="115"/>
      <c r="AG37" s="115"/>
      <c r="AH37" s="115"/>
      <c r="AI37" s="115"/>
      <c r="AJ37" s="115"/>
      <c r="AK37" s="115"/>
      <c r="AL37" s="115"/>
      <c r="AM37" s="115"/>
      <c r="AN37" s="115"/>
      <c r="AO37" s="115"/>
      <c r="AP37" s="115"/>
      <c r="AQ37" s="115"/>
      <c r="AR37" s="115"/>
      <c r="AS37" s="115"/>
      <c r="AT37" s="115"/>
      <c r="AU37" s="115"/>
      <c r="AV37" s="115"/>
      <c r="AW37" s="115"/>
      <c r="AX37" s="115"/>
      <c r="AY37" s="115"/>
      <c r="AZ37" s="115"/>
      <c r="BA37" s="115"/>
      <c r="BB37" s="115"/>
      <c r="BC37" s="115"/>
      <c r="BD37" s="115"/>
      <c r="BE37" s="115"/>
      <c r="BF37" s="115"/>
      <c r="BG37" s="115"/>
    </row>
    <row r="38" spans="1:59" s="110" customFormat="1" ht="16" x14ac:dyDescent="0.2">
      <c r="B38" s="376"/>
      <c r="C38" s="13"/>
      <c r="D38" s="21"/>
      <c r="E38" s="377"/>
      <c r="F38" s="300" t="e">
        <f>C38-$E$37</f>
        <v>#DIV/0!</v>
      </c>
      <c r="G38" s="370"/>
      <c r="H38" s="373"/>
    </row>
    <row r="39" spans="1:59" s="112" customFormat="1" ht="17" thickBot="1" x14ac:dyDescent="0.25">
      <c r="A39" s="110"/>
      <c r="B39" s="376"/>
      <c r="C39" s="13"/>
      <c r="D39" s="21"/>
      <c r="E39" s="377"/>
      <c r="F39" s="300" t="e">
        <f>C39-$E$37</f>
        <v>#DIV/0!</v>
      </c>
      <c r="G39" s="370"/>
      <c r="H39" s="373"/>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row>
    <row r="40" spans="1:59" s="110" customFormat="1" ht="16" x14ac:dyDescent="0.2">
      <c r="B40" s="366"/>
      <c r="C40" s="13"/>
      <c r="D40" s="21"/>
      <c r="E40" s="368" t="e">
        <f>AVERAGE(C40:C42)</f>
        <v>#DIV/0!</v>
      </c>
      <c r="F40" s="300" t="e">
        <f>C40-$E$40</f>
        <v>#DIV/0!</v>
      </c>
      <c r="G40" s="375" t="e">
        <f>(E40-'Library - Standard Curve'!$C$43)/'Library - Standard Curve'!$C$41</f>
        <v>#DIV/0!</v>
      </c>
      <c r="H40" s="372" t="e">
        <f>10^G40</f>
        <v>#DIV/0!</v>
      </c>
    </row>
    <row r="41" spans="1:59" s="110" customFormat="1" ht="16" x14ac:dyDescent="0.2">
      <c r="B41" s="366"/>
      <c r="C41" s="13"/>
      <c r="D41" s="21"/>
      <c r="E41" s="368"/>
      <c r="F41" s="300" t="e">
        <f>C41-$E$40</f>
        <v>#DIV/0!</v>
      </c>
      <c r="G41" s="370"/>
      <c r="H41" s="373"/>
    </row>
    <row r="42" spans="1:59" s="112" customFormat="1" ht="17" thickBot="1" x14ac:dyDescent="0.25">
      <c r="A42" s="110"/>
      <c r="B42" s="366"/>
      <c r="C42" s="13"/>
      <c r="D42" s="21"/>
      <c r="E42" s="368"/>
      <c r="F42" s="300" t="e">
        <f>C42-$E$40</f>
        <v>#DIV/0!</v>
      </c>
      <c r="G42" s="370"/>
      <c r="H42" s="373"/>
      <c r="I42" s="110"/>
      <c r="J42" s="110"/>
      <c r="K42" s="110"/>
      <c r="L42" s="110"/>
      <c r="M42" s="110"/>
      <c r="N42" s="110"/>
      <c r="O42" s="110"/>
      <c r="P42" s="110"/>
      <c r="Q42" s="110"/>
      <c r="R42" s="110"/>
      <c r="S42" s="110"/>
      <c r="T42" s="110"/>
      <c r="U42" s="110"/>
      <c r="V42" s="110"/>
      <c r="W42" s="110"/>
      <c r="X42" s="110"/>
      <c r="Y42" s="110"/>
      <c r="Z42" s="110"/>
      <c r="AA42" s="110"/>
      <c r="AB42" s="110"/>
      <c r="AC42" s="110"/>
      <c r="AD42" s="110"/>
      <c r="AE42" s="110"/>
      <c r="AF42" s="110"/>
      <c r="AG42" s="110"/>
      <c r="AH42" s="110"/>
      <c r="AI42" s="110"/>
      <c r="AJ42" s="110"/>
      <c r="AK42" s="110"/>
      <c r="AL42" s="110"/>
      <c r="AM42" s="110"/>
      <c r="AN42" s="110"/>
      <c r="AO42" s="110"/>
      <c r="AP42" s="110"/>
      <c r="AQ42" s="110"/>
      <c r="AR42" s="110"/>
      <c r="AS42" s="110"/>
      <c r="AT42" s="110"/>
      <c r="AU42" s="110"/>
      <c r="AV42" s="110"/>
      <c r="AW42" s="110"/>
      <c r="AX42" s="110"/>
      <c r="AY42" s="110"/>
      <c r="AZ42" s="110"/>
      <c r="BA42" s="110"/>
      <c r="BB42" s="110"/>
      <c r="BC42" s="110"/>
      <c r="BD42" s="110"/>
      <c r="BE42" s="110"/>
      <c r="BF42" s="110"/>
      <c r="BG42" s="110"/>
    </row>
    <row r="43" spans="1:59" s="110" customFormat="1" ht="16" x14ac:dyDescent="0.2">
      <c r="B43" s="366"/>
      <c r="C43" s="13"/>
      <c r="D43" s="21"/>
      <c r="E43" s="368" t="e">
        <f>AVERAGE(C43:C45)</f>
        <v>#DIV/0!</v>
      </c>
      <c r="F43" s="300" t="e">
        <f>C43-$E$43</f>
        <v>#DIV/0!</v>
      </c>
      <c r="G43" s="375" t="e">
        <f>(E43-'Library - Standard Curve'!$C$43)/'Library - Standard Curve'!$C$41</f>
        <v>#DIV/0!</v>
      </c>
      <c r="H43" s="372" t="e">
        <f>10^G43</f>
        <v>#DIV/0!</v>
      </c>
    </row>
    <row r="44" spans="1:59" s="110" customFormat="1" ht="16" x14ac:dyDescent="0.2">
      <c r="B44" s="366"/>
      <c r="C44" s="13"/>
      <c r="D44" s="21"/>
      <c r="E44" s="368"/>
      <c r="F44" s="300" t="e">
        <f>C44-$E$43</f>
        <v>#DIV/0!</v>
      </c>
      <c r="G44" s="370"/>
      <c r="H44" s="373"/>
    </row>
    <row r="45" spans="1:59" s="112" customFormat="1" ht="17" thickBot="1" x14ac:dyDescent="0.25">
      <c r="A45" s="110"/>
      <c r="B45" s="366"/>
      <c r="C45" s="13"/>
      <c r="D45" s="21"/>
      <c r="E45" s="368"/>
      <c r="F45" s="300" t="e">
        <f>C45-$E$43</f>
        <v>#DIV/0!</v>
      </c>
      <c r="G45" s="370"/>
      <c r="H45" s="373"/>
      <c r="I45" s="110"/>
      <c r="J45" s="110"/>
      <c r="K45" s="110"/>
      <c r="L45" s="110"/>
      <c r="M45" s="110"/>
      <c r="N45" s="110"/>
      <c r="O45" s="110"/>
      <c r="P45" s="110"/>
      <c r="Q45" s="110"/>
      <c r="R45" s="110"/>
      <c r="S45" s="110"/>
      <c r="T45" s="110"/>
      <c r="U45" s="110"/>
      <c r="V45" s="110"/>
      <c r="W45" s="110"/>
      <c r="X45" s="110"/>
      <c r="Y45" s="110"/>
      <c r="Z45" s="110"/>
      <c r="AA45" s="110"/>
      <c r="AB45" s="110"/>
      <c r="AC45" s="110"/>
      <c r="AD45" s="110"/>
      <c r="AE45" s="110"/>
      <c r="AF45" s="110"/>
      <c r="AG45" s="110"/>
      <c r="AH45" s="110"/>
      <c r="AI45" s="110"/>
      <c r="AJ45" s="110"/>
      <c r="AK45" s="110"/>
      <c r="AL45" s="110"/>
      <c r="AM45" s="110"/>
      <c r="AN45" s="110"/>
      <c r="AO45" s="110"/>
      <c r="AP45" s="110"/>
      <c r="AQ45" s="110"/>
      <c r="AR45" s="110"/>
      <c r="AS45" s="110"/>
      <c r="AT45" s="110"/>
      <c r="AU45" s="110"/>
      <c r="AV45" s="110"/>
      <c r="AW45" s="110"/>
      <c r="AX45" s="110"/>
      <c r="AY45" s="110"/>
      <c r="AZ45" s="110"/>
      <c r="BA45" s="110"/>
      <c r="BB45" s="110"/>
      <c r="BC45" s="110"/>
      <c r="BD45" s="110"/>
      <c r="BE45" s="110"/>
      <c r="BF45" s="110"/>
      <c r="BG45" s="110"/>
    </row>
    <row r="46" spans="1:59" s="110" customFormat="1" ht="16" x14ac:dyDescent="0.2">
      <c r="B46" s="366"/>
      <c r="C46" s="13"/>
      <c r="D46" s="21"/>
      <c r="E46" s="368" t="e">
        <f>AVERAGE(C46:C48)</f>
        <v>#DIV/0!</v>
      </c>
      <c r="F46" s="300" t="e">
        <f>C46-$E$46</f>
        <v>#DIV/0!</v>
      </c>
      <c r="G46" s="375" t="e">
        <f>(E46-'Library - Standard Curve'!$C$43)/'Library - Standard Curve'!$C$41</f>
        <v>#DIV/0!</v>
      </c>
      <c r="H46" s="372" t="e">
        <f>10^G46</f>
        <v>#DIV/0!</v>
      </c>
    </row>
    <row r="47" spans="1:59" s="110" customFormat="1" ht="16" x14ac:dyDescent="0.2">
      <c r="B47" s="366"/>
      <c r="C47" s="13"/>
      <c r="D47" s="21"/>
      <c r="E47" s="368"/>
      <c r="F47" s="300" t="e">
        <f>C47-$E$46</f>
        <v>#DIV/0!</v>
      </c>
      <c r="G47" s="370"/>
      <c r="H47" s="373"/>
    </row>
    <row r="48" spans="1:59" s="112" customFormat="1" ht="17" thickBot="1" x14ac:dyDescent="0.25">
      <c r="A48" s="110"/>
      <c r="B48" s="366"/>
      <c r="C48" s="13"/>
      <c r="D48" s="21"/>
      <c r="E48" s="368"/>
      <c r="F48" s="300" t="e">
        <f>C48-$E$46</f>
        <v>#DIV/0!</v>
      </c>
      <c r="G48" s="370"/>
      <c r="H48" s="373"/>
      <c r="I48" s="110"/>
      <c r="J48" s="110"/>
      <c r="K48" s="110"/>
      <c r="L48" s="110"/>
      <c r="M48" s="110"/>
      <c r="N48" s="110"/>
      <c r="O48" s="110"/>
      <c r="P48" s="110"/>
      <c r="Q48" s="110"/>
      <c r="R48" s="110"/>
      <c r="S48" s="110"/>
      <c r="T48" s="110"/>
      <c r="U48" s="110"/>
      <c r="V48" s="110"/>
      <c r="W48" s="110"/>
      <c r="X48" s="110"/>
      <c r="Y48" s="110"/>
      <c r="Z48" s="110"/>
      <c r="AA48" s="110"/>
      <c r="AB48" s="110"/>
      <c r="AC48" s="110"/>
      <c r="AD48" s="110"/>
      <c r="AE48" s="110"/>
      <c r="AF48" s="110"/>
      <c r="AG48" s="110"/>
      <c r="AH48" s="110"/>
      <c r="AI48" s="110"/>
      <c r="AJ48" s="110"/>
      <c r="AK48" s="110"/>
      <c r="AL48" s="110"/>
      <c r="AM48" s="110"/>
      <c r="AN48" s="110"/>
      <c r="AO48" s="110"/>
      <c r="AP48" s="110"/>
      <c r="AQ48" s="110"/>
      <c r="AR48" s="110"/>
      <c r="AS48" s="110"/>
      <c r="AT48" s="110"/>
      <c r="AU48" s="110"/>
      <c r="AV48" s="110"/>
      <c r="AW48" s="110"/>
      <c r="AX48" s="110"/>
      <c r="AY48" s="110"/>
      <c r="AZ48" s="110"/>
      <c r="BA48" s="110"/>
      <c r="BB48" s="110"/>
      <c r="BC48" s="110"/>
      <c r="BD48" s="110"/>
      <c r="BE48" s="110"/>
      <c r="BF48" s="110"/>
      <c r="BG48" s="110"/>
    </row>
    <row r="49" spans="1:59" s="117" customFormat="1" ht="16" x14ac:dyDescent="0.2">
      <c r="A49" s="115"/>
      <c r="B49" s="376"/>
      <c r="C49" s="13"/>
      <c r="D49" s="22"/>
      <c r="E49" s="377" t="e">
        <f>AVERAGE(C49:C51)</f>
        <v>#DIV/0!</v>
      </c>
      <c r="F49" s="300" t="e">
        <f>C49-$E$49</f>
        <v>#DIV/0!</v>
      </c>
      <c r="G49" s="375" t="e">
        <f>(E49-'Library - Standard Curve'!$C$43)/'Library - Standard Curve'!$C$41</f>
        <v>#DIV/0!</v>
      </c>
      <c r="H49" s="372" t="e">
        <f>10^G49</f>
        <v>#DIV/0!</v>
      </c>
      <c r="I49" s="116"/>
      <c r="J49" s="115"/>
      <c r="K49" s="115"/>
      <c r="L49" s="115"/>
      <c r="M49" s="115"/>
      <c r="N49" s="115"/>
      <c r="O49" s="115"/>
      <c r="P49" s="115"/>
      <c r="Q49" s="115"/>
      <c r="R49" s="115"/>
      <c r="S49" s="115"/>
      <c r="T49" s="115"/>
      <c r="U49" s="115"/>
      <c r="V49" s="115"/>
      <c r="W49" s="115"/>
      <c r="X49" s="115"/>
      <c r="Y49" s="115"/>
      <c r="Z49" s="115"/>
      <c r="AA49" s="115"/>
      <c r="AB49" s="115"/>
      <c r="AC49" s="115"/>
      <c r="AD49" s="115"/>
      <c r="AE49" s="115"/>
      <c r="AF49" s="115"/>
      <c r="AG49" s="115"/>
      <c r="AH49" s="115"/>
      <c r="AI49" s="115"/>
      <c r="AJ49" s="115"/>
      <c r="AK49" s="115"/>
      <c r="AL49" s="115"/>
      <c r="AM49" s="115"/>
      <c r="AN49" s="115"/>
      <c r="AO49" s="115"/>
      <c r="AP49" s="115"/>
      <c r="AQ49" s="115"/>
      <c r="AR49" s="115"/>
      <c r="AS49" s="115"/>
      <c r="AT49" s="115"/>
      <c r="AU49" s="115"/>
      <c r="AV49" s="115"/>
      <c r="AW49" s="115"/>
      <c r="AX49" s="115"/>
      <c r="AY49" s="115"/>
      <c r="AZ49" s="115"/>
      <c r="BA49" s="115"/>
      <c r="BB49" s="115"/>
      <c r="BC49" s="115"/>
      <c r="BD49" s="115"/>
      <c r="BE49" s="115"/>
      <c r="BF49" s="115"/>
      <c r="BG49" s="115"/>
    </row>
    <row r="50" spans="1:59" s="110" customFormat="1" ht="16" x14ac:dyDescent="0.2">
      <c r="B50" s="376"/>
      <c r="C50" s="13"/>
      <c r="D50" s="21"/>
      <c r="E50" s="377"/>
      <c r="F50" s="300" t="e">
        <f>C50-$E$49</f>
        <v>#DIV/0!</v>
      </c>
      <c r="G50" s="370"/>
      <c r="H50" s="373"/>
    </row>
    <row r="51" spans="1:59" s="112" customFormat="1" ht="17" thickBot="1" x14ac:dyDescent="0.25">
      <c r="A51" s="110"/>
      <c r="B51" s="376"/>
      <c r="C51" s="13"/>
      <c r="D51" s="21"/>
      <c r="E51" s="377"/>
      <c r="F51" s="300" t="e">
        <f>C51-$E$49</f>
        <v>#DIV/0!</v>
      </c>
      <c r="G51" s="370"/>
      <c r="H51" s="373"/>
      <c r="I51" s="110"/>
      <c r="J51" s="110"/>
      <c r="K51" s="110"/>
      <c r="L51" s="110"/>
      <c r="M51" s="110"/>
      <c r="N51" s="110"/>
      <c r="O51" s="110"/>
      <c r="P51" s="110"/>
      <c r="Q51" s="110"/>
      <c r="R51" s="110"/>
      <c r="S51" s="110"/>
      <c r="T51" s="110"/>
      <c r="U51" s="110"/>
      <c r="V51" s="110"/>
      <c r="W51" s="110"/>
      <c r="X51" s="110"/>
      <c r="Y51" s="110"/>
      <c r="Z51" s="110"/>
      <c r="AA51" s="110"/>
      <c r="AB51" s="110"/>
      <c r="AC51" s="110"/>
      <c r="AD51" s="110"/>
      <c r="AE51" s="110"/>
      <c r="AF51" s="110"/>
      <c r="AG51" s="110"/>
      <c r="AH51" s="110"/>
      <c r="AI51" s="110"/>
      <c r="AJ51" s="110"/>
      <c r="AK51" s="110"/>
      <c r="AL51" s="110"/>
      <c r="AM51" s="110"/>
      <c r="AN51" s="110"/>
      <c r="AO51" s="110"/>
      <c r="AP51" s="110"/>
      <c r="AQ51" s="110"/>
      <c r="AR51" s="110"/>
      <c r="AS51" s="110"/>
      <c r="AT51" s="110"/>
      <c r="AU51" s="110"/>
      <c r="AV51" s="110"/>
      <c r="AW51" s="110"/>
      <c r="AX51" s="110"/>
      <c r="AY51" s="110"/>
      <c r="AZ51" s="110"/>
      <c r="BA51" s="110"/>
      <c r="BB51" s="110"/>
      <c r="BC51" s="110"/>
      <c r="BD51" s="110"/>
      <c r="BE51" s="110"/>
      <c r="BF51" s="110"/>
      <c r="BG51" s="110"/>
    </row>
    <row r="52" spans="1:59" s="110" customFormat="1" ht="16" x14ac:dyDescent="0.2">
      <c r="B52" s="366"/>
      <c r="C52" s="13"/>
      <c r="D52" s="21"/>
      <c r="E52" s="368" t="e">
        <f>AVERAGE(C52:C54)</f>
        <v>#DIV/0!</v>
      </c>
      <c r="F52" s="300" t="e">
        <f>C52-$E$52</f>
        <v>#DIV/0!</v>
      </c>
      <c r="G52" s="375" t="e">
        <f>(E52-'Library - Standard Curve'!$C$43)/'Library - Standard Curve'!$C$41</f>
        <v>#DIV/0!</v>
      </c>
      <c r="H52" s="372" t="e">
        <f>10^G52</f>
        <v>#DIV/0!</v>
      </c>
    </row>
    <row r="53" spans="1:59" s="110" customFormat="1" ht="16" x14ac:dyDescent="0.2">
      <c r="B53" s="366"/>
      <c r="C53" s="13"/>
      <c r="D53" s="21"/>
      <c r="E53" s="368"/>
      <c r="F53" s="300" t="e">
        <f>C53-$E$52</f>
        <v>#DIV/0!</v>
      </c>
      <c r="G53" s="370"/>
      <c r="H53" s="373"/>
    </row>
    <row r="54" spans="1:59" s="112" customFormat="1" ht="17" thickBot="1" x14ac:dyDescent="0.25">
      <c r="A54" s="110"/>
      <c r="B54" s="366"/>
      <c r="C54" s="13"/>
      <c r="D54" s="21"/>
      <c r="E54" s="368"/>
      <c r="F54" s="300" t="e">
        <f>C54-$E$52</f>
        <v>#DIV/0!</v>
      </c>
      <c r="G54" s="370"/>
      <c r="H54" s="373"/>
      <c r="I54" s="110"/>
      <c r="J54" s="110"/>
      <c r="K54" s="110"/>
      <c r="L54" s="110"/>
      <c r="M54" s="110"/>
      <c r="N54" s="110"/>
      <c r="O54" s="110"/>
      <c r="P54" s="110"/>
      <c r="Q54" s="110"/>
      <c r="R54" s="110"/>
      <c r="S54" s="110"/>
      <c r="T54" s="110"/>
      <c r="U54" s="110"/>
      <c r="V54" s="110"/>
      <c r="W54" s="110"/>
      <c r="X54" s="110"/>
      <c r="Y54" s="110"/>
      <c r="Z54" s="110"/>
      <c r="AA54" s="110"/>
      <c r="AB54" s="110"/>
      <c r="AC54" s="110"/>
      <c r="AD54" s="110"/>
      <c r="AE54" s="110"/>
      <c r="AF54" s="110"/>
      <c r="AG54" s="110"/>
      <c r="AH54" s="110"/>
      <c r="AI54" s="110"/>
      <c r="AJ54" s="110"/>
      <c r="AK54" s="110"/>
      <c r="AL54" s="110"/>
      <c r="AM54" s="110"/>
      <c r="AN54" s="110"/>
      <c r="AO54" s="110"/>
      <c r="AP54" s="110"/>
      <c r="AQ54" s="110"/>
      <c r="AR54" s="110"/>
      <c r="AS54" s="110"/>
      <c r="AT54" s="110"/>
      <c r="AU54" s="110"/>
      <c r="AV54" s="110"/>
      <c r="AW54" s="110"/>
      <c r="AX54" s="110"/>
      <c r="AY54" s="110"/>
      <c r="AZ54" s="110"/>
      <c r="BA54" s="110"/>
      <c r="BB54" s="110"/>
      <c r="BC54" s="110"/>
      <c r="BD54" s="110"/>
      <c r="BE54" s="110"/>
      <c r="BF54" s="110"/>
      <c r="BG54" s="110"/>
    </row>
    <row r="55" spans="1:59" s="117" customFormat="1" ht="16" x14ac:dyDescent="0.2">
      <c r="A55" s="115"/>
      <c r="B55" s="376"/>
      <c r="C55" s="13"/>
      <c r="D55" s="22"/>
      <c r="E55" s="377" t="e">
        <f>AVERAGE(C55:C57)</f>
        <v>#DIV/0!</v>
      </c>
      <c r="F55" s="300" t="e">
        <f>C55-$E$55</f>
        <v>#DIV/0!</v>
      </c>
      <c r="G55" s="375" t="e">
        <f>(E55-'Library - Standard Curve'!$C$43)/'Library - Standard Curve'!$C$41</f>
        <v>#DIV/0!</v>
      </c>
      <c r="H55" s="372" t="e">
        <f>10^G55</f>
        <v>#DIV/0!</v>
      </c>
      <c r="I55" s="116"/>
      <c r="J55" s="115"/>
      <c r="K55" s="115"/>
      <c r="L55" s="115"/>
      <c r="M55" s="115"/>
      <c r="N55" s="115"/>
      <c r="O55" s="115"/>
      <c r="P55" s="115"/>
      <c r="Q55" s="115"/>
      <c r="R55" s="115"/>
      <c r="S55" s="115"/>
      <c r="T55" s="115"/>
      <c r="U55" s="115"/>
      <c r="V55" s="115"/>
      <c r="W55" s="115"/>
      <c r="X55" s="115"/>
      <c r="Y55" s="115"/>
      <c r="Z55" s="115"/>
      <c r="AA55" s="115"/>
      <c r="AB55" s="115"/>
      <c r="AC55" s="115"/>
      <c r="AD55" s="115"/>
      <c r="AE55" s="115"/>
      <c r="AF55" s="115"/>
      <c r="AG55" s="115"/>
      <c r="AH55" s="115"/>
      <c r="AI55" s="115"/>
      <c r="AJ55" s="115"/>
      <c r="AK55" s="115"/>
      <c r="AL55" s="115"/>
      <c r="AM55" s="115"/>
      <c r="AN55" s="115"/>
      <c r="AO55" s="115"/>
      <c r="AP55" s="115"/>
      <c r="AQ55" s="115"/>
      <c r="AR55" s="115"/>
      <c r="AS55" s="115"/>
      <c r="AT55" s="115"/>
      <c r="AU55" s="115"/>
      <c r="AV55" s="115"/>
      <c r="AW55" s="115"/>
      <c r="AX55" s="115"/>
      <c r="AY55" s="115"/>
      <c r="AZ55" s="115"/>
      <c r="BA55" s="115"/>
      <c r="BB55" s="115"/>
      <c r="BC55" s="115"/>
      <c r="BD55" s="115"/>
      <c r="BE55" s="115"/>
      <c r="BF55" s="115"/>
      <c r="BG55" s="115"/>
    </row>
    <row r="56" spans="1:59" s="110" customFormat="1" ht="16" x14ac:dyDescent="0.2">
      <c r="B56" s="376"/>
      <c r="C56" s="13"/>
      <c r="D56" s="21"/>
      <c r="E56" s="377"/>
      <c r="F56" s="300" t="e">
        <f>C56-$E$55</f>
        <v>#DIV/0!</v>
      </c>
      <c r="G56" s="370"/>
      <c r="H56" s="373"/>
    </row>
    <row r="57" spans="1:59" s="112" customFormat="1" ht="17" thickBot="1" x14ac:dyDescent="0.25">
      <c r="A57" s="110"/>
      <c r="B57" s="376"/>
      <c r="C57" s="13"/>
      <c r="D57" s="21"/>
      <c r="E57" s="377"/>
      <c r="F57" s="300" t="e">
        <f>C57-$E$55</f>
        <v>#DIV/0!</v>
      </c>
      <c r="G57" s="370"/>
      <c r="H57" s="373"/>
      <c r="I57" s="110"/>
      <c r="J57" s="110"/>
      <c r="K57" s="110"/>
      <c r="L57" s="110"/>
      <c r="M57" s="110"/>
      <c r="N57" s="110"/>
      <c r="O57" s="110"/>
      <c r="P57" s="110"/>
      <c r="Q57" s="110"/>
      <c r="R57" s="110"/>
      <c r="S57" s="110"/>
      <c r="T57" s="110"/>
      <c r="U57" s="110"/>
      <c r="V57" s="110"/>
      <c r="W57" s="110"/>
      <c r="X57" s="110"/>
      <c r="Y57" s="110"/>
      <c r="Z57" s="110"/>
      <c r="AA57" s="110"/>
      <c r="AB57" s="110"/>
      <c r="AC57" s="110"/>
      <c r="AD57" s="110"/>
      <c r="AE57" s="110"/>
      <c r="AF57" s="110"/>
      <c r="AG57" s="110"/>
      <c r="AH57" s="110"/>
      <c r="AI57" s="110"/>
      <c r="AJ57" s="110"/>
      <c r="AK57" s="110"/>
      <c r="AL57" s="110"/>
      <c r="AM57" s="110"/>
      <c r="AN57" s="110"/>
      <c r="AO57" s="110"/>
      <c r="AP57" s="110"/>
      <c r="AQ57" s="110"/>
      <c r="AR57" s="110"/>
      <c r="AS57" s="110"/>
      <c r="AT57" s="110"/>
      <c r="AU57" s="110"/>
      <c r="AV57" s="110"/>
      <c r="AW57" s="110"/>
      <c r="AX57" s="110"/>
      <c r="AY57" s="110"/>
      <c r="AZ57" s="110"/>
      <c r="BA57" s="110"/>
      <c r="BB57" s="110"/>
      <c r="BC57" s="110"/>
      <c r="BD57" s="110"/>
      <c r="BE57" s="110"/>
      <c r="BF57" s="110"/>
      <c r="BG57" s="110"/>
    </row>
    <row r="58" spans="1:59" s="110" customFormat="1" ht="16" x14ac:dyDescent="0.2">
      <c r="B58" s="366"/>
      <c r="C58" s="13"/>
      <c r="D58" s="21"/>
      <c r="E58" s="368" t="e">
        <f>AVERAGE(C58:C60)</f>
        <v>#DIV/0!</v>
      </c>
      <c r="F58" s="300" t="e">
        <f>C58-$E$58</f>
        <v>#DIV/0!</v>
      </c>
      <c r="G58" s="375" t="e">
        <f>(E58-'Library - Standard Curve'!$C$43)/'Library - Standard Curve'!$C$41</f>
        <v>#DIV/0!</v>
      </c>
      <c r="H58" s="372" t="e">
        <f>10^G58</f>
        <v>#DIV/0!</v>
      </c>
    </row>
    <row r="59" spans="1:59" s="110" customFormat="1" ht="16" x14ac:dyDescent="0.2">
      <c r="B59" s="366"/>
      <c r="C59" s="13"/>
      <c r="D59" s="21"/>
      <c r="E59" s="368"/>
      <c r="F59" s="300" t="e">
        <f>C59-$E$58</f>
        <v>#DIV/0!</v>
      </c>
      <c r="G59" s="370"/>
      <c r="H59" s="373"/>
    </row>
    <row r="60" spans="1:59" s="112" customFormat="1" ht="17" thickBot="1" x14ac:dyDescent="0.25">
      <c r="A60" s="110"/>
      <c r="B60" s="366"/>
      <c r="C60" s="13"/>
      <c r="D60" s="21"/>
      <c r="E60" s="368"/>
      <c r="F60" s="300" t="e">
        <f>C60-$E$58</f>
        <v>#DIV/0!</v>
      </c>
      <c r="G60" s="370"/>
      <c r="H60" s="373"/>
      <c r="I60" s="110"/>
      <c r="J60" s="110"/>
      <c r="K60" s="110"/>
      <c r="L60" s="110"/>
      <c r="M60" s="110"/>
      <c r="N60" s="110"/>
      <c r="O60" s="110"/>
      <c r="P60" s="110"/>
      <c r="Q60" s="110"/>
      <c r="R60" s="110"/>
      <c r="S60" s="110"/>
      <c r="T60" s="110"/>
      <c r="U60" s="110"/>
      <c r="V60" s="110"/>
      <c r="W60" s="110"/>
      <c r="X60" s="110"/>
      <c r="Y60" s="110"/>
      <c r="Z60" s="110"/>
      <c r="AA60" s="110"/>
      <c r="AB60" s="110"/>
      <c r="AC60" s="110"/>
      <c r="AD60" s="110"/>
      <c r="AE60" s="110"/>
      <c r="AF60" s="110"/>
      <c r="AG60" s="110"/>
      <c r="AH60" s="110"/>
      <c r="AI60" s="110"/>
      <c r="AJ60" s="110"/>
      <c r="AK60" s="110"/>
      <c r="AL60" s="110"/>
      <c r="AM60" s="110"/>
      <c r="AN60" s="110"/>
      <c r="AO60" s="110"/>
      <c r="AP60" s="110"/>
      <c r="AQ60" s="110"/>
      <c r="AR60" s="110"/>
      <c r="AS60" s="110"/>
      <c r="AT60" s="110"/>
      <c r="AU60" s="110"/>
      <c r="AV60" s="110"/>
      <c r="AW60" s="110"/>
      <c r="AX60" s="110"/>
      <c r="AY60" s="110"/>
      <c r="AZ60" s="110"/>
      <c r="BA60" s="110"/>
      <c r="BB60" s="110"/>
      <c r="BC60" s="110"/>
      <c r="BD60" s="110"/>
      <c r="BE60" s="110"/>
      <c r="BF60" s="110"/>
      <c r="BG60" s="110"/>
    </row>
    <row r="61" spans="1:59" s="117" customFormat="1" ht="16" x14ac:dyDescent="0.2">
      <c r="A61" s="115"/>
      <c r="B61" s="376"/>
      <c r="C61" s="13"/>
      <c r="D61" s="22"/>
      <c r="E61" s="377" t="e">
        <f>AVERAGE(C61:C63)</f>
        <v>#DIV/0!</v>
      </c>
      <c r="F61" s="300" t="e">
        <f>C61-$E$61</f>
        <v>#DIV/0!</v>
      </c>
      <c r="G61" s="375" t="e">
        <f>(E61-'Library - Standard Curve'!$C$43)/'Library - Standard Curve'!$C$41</f>
        <v>#DIV/0!</v>
      </c>
      <c r="H61" s="372" t="e">
        <f>10^G61</f>
        <v>#DIV/0!</v>
      </c>
      <c r="I61" s="116"/>
      <c r="J61" s="115"/>
      <c r="K61" s="115"/>
      <c r="L61" s="115"/>
      <c r="M61" s="115"/>
      <c r="N61" s="115"/>
      <c r="O61" s="115"/>
      <c r="P61" s="115"/>
      <c r="Q61" s="115"/>
      <c r="R61" s="115"/>
      <c r="S61" s="115"/>
      <c r="T61" s="115"/>
      <c r="U61" s="115"/>
      <c r="V61" s="115"/>
      <c r="W61" s="115"/>
      <c r="X61" s="115"/>
      <c r="Y61" s="115"/>
      <c r="Z61" s="115"/>
      <c r="AA61" s="115"/>
      <c r="AB61" s="115"/>
      <c r="AC61" s="115"/>
      <c r="AD61" s="115"/>
      <c r="AE61" s="115"/>
      <c r="AF61" s="115"/>
      <c r="AG61" s="115"/>
      <c r="AH61" s="115"/>
      <c r="AI61" s="115"/>
      <c r="AJ61" s="115"/>
      <c r="AK61" s="115"/>
      <c r="AL61" s="115"/>
      <c r="AM61" s="115"/>
      <c r="AN61" s="115"/>
      <c r="AO61" s="115"/>
      <c r="AP61" s="115"/>
      <c r="AQ61" s="115"/>
      <c r="AR61" s="115"/>
      <c r="AS61" s="115"/>
      <c r="AT61" s="115"/>
      <c r="AU61" s="115"/>
      <c r="AV61" s="115"/>
      <c r="AW61" s="115"/>
      <c r="AX61" s="115"/>
      <c r="AY61" s="115"/>
      <c r="AZ61" s="115"/>
      <c r="BA61" s="115"/>
      <c r="BB61" s="115"/>
      <c r="BC61" s="115"/>
      <c r="BD61" s="115"/>
      <c r="BE61" s="115"/>
      <c r="BF61" s="115"/>
      <c r="BG61" s="115"/>
    </row>
    <row r="62" spans="1:59" s="110" customFormat="1" ht="16" x14ac:dyDescent="0.2">
      <c r="B62" s="376"/>
      <c r="C62" s="13"/>
      <c r="D62" s="21"/>
      <c r="E62" s="377"/>
      <c r="F62" s="300" t="e">
        <f>C62-$E$61</f>
        <v>#DIV/0!</v>
      </c>
      <c r="G62" s="370"/>
      <c r="H62" s="373"/>
    </row>
    <row r="63" spans="1:59" s="112" customFormat="1" ht="17" thickBot="1" x14ac:dyDescent="0.25">
      <c r="A63" s="110"/>
      <c r="B63" s="376"/>
      <c r="C63" s="13"/>
      <c r="D63" s="21"/>
      <c r="E63" s="377"/>
      <c r="F63" s="300" t="e">
        <f>C63-$E$61</f>
        <v>#DIV/0!</v>
      </c>
      <c r="G63" s="370"/>
      <c r="H63" s="373"/>
      <c r="I63" s="110"/>
      <c r="J63" s="110"/>
      <c r="K63" s="110"/>
      <c r="L63" s="110"/>
      <c r="M63" s="110"/>
      <c r="N63" s="110"/>
      <c r="O63" s="110"/>
      <c r="P63" s="110"/>
      <c r="Q63" s="110"/>
      <c r="R63" s="110"/>
      <c r="S63" s="110"/>
      <c r="T63" s="110"/>
      <c r="U63" s="110"/>
      <c r="V63" s="110"/>
      <c r="W63" s="110"/>
      <c r="X63" s="110"/>
      <c r="Y63" s="110"/>
      <c r="Z63" s="110"/>
      <c r="AA63" s="110"/>
      <c r="AB63" s="110"/>
      <c r="AC63" s="110"/>
      <c r="AD63" s="110"/>
      <c r="AE63" s="110"/>
      <c r="AF63" s="110"/>
      <c r="AG63" s="110"/>
      <c r="AH63" s="110"/>
      <c r="AI63" s="110"/>
      <c r="AJ63" s="110"/>
      <c r="AK63" s="110"/>
      <c r="AL63" s="110"/>
      <c r="AM63" s="110"/>
      <c r="AN63" s="110"/>
      <c r="AO63" s="110"/>
      <c r="AP63" s="110"/>
      <c r="AQ63" s="110"/>
      <c r="AR63" s="110"/>
      <c r="AS63" s="110"/>
      <c r="AT63" s="110"/>
      <c r="AU63" s="110"/>
      <c r="AV63" s="110"/>
      <c r="AW63" s="110"/>
      <c r="AX63" s="110"/>
      <c r="AY63" s="110"/>
      <c r="AZ63" s="110"/>
      <c r="BA63" s="110"/>
      <c r="BB63" s="110"/>
      <c r="BC63" s="110"/>
      <c r="BD63" s="110"/>
      <c r="BE63" s="110"/>
      <c r="BF63" s="110"/>
      <c r="BG63" s="110"/>
    </row>
    <row r="64" spans="1:59" s="110" customFormat="1" ht="16" x14ac:dyDescent="0.2">
      <c r="B64" s="366"/>
      <c r="C64" s="13"/>
      <c r="D64" s="21"/>
      <c r="E64" s="368" t="e">
        <f>AVERAGE(C64:C66)</f>
        <v>#DIV/0!</v>
      </c>
      <c r="F64" s="300" t="e">
        <f>C64-$E$64</f>
        <v>#DIV/0!</v>
      </c>
      <c r="G64" s="375" t="e">
        <f>(E64-'Library - Standard Curve'!$C$43)/'Library - Standard Curve'!$C$41</f>
        <v>#DIV/0!</v>
      </c>
      <c r="H64" s="372" t="e">
        <f>10^G64</f>
        <v>#DIV/0!</v>
      </c>
    </row>
    <row r="65" spans="1:59" s="110" customFormat="1" ht="16" x14ac:dyDescent="0.2">
      <c r="B65" s="366"/>
      <c r="C65" s="13"/>
      <c r="D65" s="21"/>
      <c r="E65" s="368"/>
      <c r="F65" s="300" t="e">
        <f>C65-$E$64</f>
        <v>#DIV/0!</v>
      </c>
      <c r="G65" s="370"/>
      <c r="H65" s="373"/>
    </row>
    <row r="66" spans="1:59" s="112" customFormat="1" ht="17" thickBot="1" x14ac:dyDescent="0.25">
      <c r="A66" s="110"/>
      <c r="B66" s="366"/>
      <c r="C66" s="13"/>
      <c r="D66" s="21"/>
      <c r="E66" s="368"/>
      <c r="F66" s="300" t="e">
        <f>C66-$E$64</f>
        <v>#DIV/0!</v>
      </c>
      <c r="G66" s="370"/>
      <c r="H66" s="373"/>
      <c r="I66" s="110"/>
      <c r="J66" s="110"/>
      <c r="K66" s="110"/>
      <c r="L66" s="110"/>
      <c r="M66" s="110"/>
      <c r="N66" s="110"/>
      <c r="O66" s="110"/>
      <c r="P66" s="110"/>
      <c r="Q66" s="110"/>
      <c r="R66" s="110"/>
      <c r="S66" s="110"/>
      <c r="T66" s="110"/>
      <c r="U66" s="110"/>
      <c r="V66" s="110"/>
      <c r="W66" s="110"/>
      <c r="X66" s="110"/>
      <c r="Y66" s="110"/>
      <c r="Z66" s="110"/>
      <c r="AA66" s="110"/>
      <c r="AB66" s="110"/>
      <c r="AC66" s="110"/>
      <c r="AD66" s="110"/>
      <c r="AE66" s="110"/>
      <c r="AF66" s="110"/>
      <c r="AG66" s="110"/>
      <c r="AH66" s="110"/>
      <c r="AI66" s="110"/>
      <c r="AJ66" s="110"/>
      <c r="AK66" s="110"/>
      <c r="AL66" s="110"/>
      <c r="AM66" s="110"/>
      <c r="AN66" s="110"/>
      <c r="AO66" s="110"/>
      <c r="AP66" s="110"/>
      <c r="AQ66" s="110"/>
      <c r="AR66" s="110"/>
      <c r="AS66" s="110"/>
      <c r="AT66" s="110"/>
      <c r="AU66" s="110"/>
      <c r="AV66" s="110"/>
      <c r="AW66" s="110"/>
      <c r="AX66" s="110"/>
      <c r="AY66" s="110"/>
      <c r="AZ66" s="110"/>
      <c r="BA66" s="110"/>
      <c r="BB66" s="110"/>
      <c r="BC66" s="110"/>
      <c r="BD66" s="110"/>
      <c r="BE66" s="110"/>
      <c r="BF66" s="110"/>
      <c r="BG66" s="110"/>
    </row>
    <row r="67" spans="1:59" s="110" customFormat="1" ht="16" x14ac:dyDescent="0.2">
      <c r="B67" s="366"/>
      <c r="C67" s="13"/>
      <c r="D67" s="21"/>
      <c r="E67" s="368" t="e">
        <f>AVERAGE(C67:C69)</f>
        <v>#DIV/0!</v>
      </c>
      <c r="F67" s="300" t="e">
        <f>C67-$E$67</f>
        <v>#DIV/0!</v>
      </c>
      <c r="G67" s="375" t="e">
        <f>(E67-'Library - Standard Curve'!$C$43)/'Library - Standard Curve'!$C$41</f>
        <v>#DIV/0!</v>
      </c>
      <c r="H67" s="372" t="e">
        <f>10^G67</f>
        <v>#DIV/0!</v>
      </c>
    </row>
    <row r="68" spans="1:59" s="110" customFormat="1" ht="16" x14ac:dyDescent="0.2">
      <c r="B68" s="366"/>
      <c r="C68" s="13"/>
      <c r="D68" s="21"/>
      <c r="E68" s="368"/>
      <c r="F68" s="300" t="e">
        <f>C68-$E$67</f>
        <v>#DIV/0!</v>
      </c>
      <c r="G68" s="370"/>
      <c r="H68" s="373"/>
    </row>
    <row r="69" spans="1:59" s="112" customFormat="1" ht="17" thickBot="1" x14ac:dyDescent="0.25">
      <c r="A69" s="110"/>
      <c r="B69" s="366"/>
      <c r="C69" s="13"/>
      <c r="D69" s="21"/>
      <c r="E69" s="368"/>
      <c r="F69" s="300" t="e">
        <f>C69-$E$67</f>
        <v>#DIV/0!</v>
      </c>
      <c r="G69" s="370"/>
      <c r="H69" s="373"/>
      <c r="I69" s="110"/>
      <c r="J69" s="110"/>
      <c r="K69" s="110"/>
      <c r="L69" s="110"/>
      <c r="M69" s="110"/>
      <c r="N69" s="110"/>
      <c r="O69" s="110"/>
      <c r="P69" s="110"/>
      <c r="Q69" s="110"/>
      <c r="R69" s="110"/>
      <c r="S69" s="110"/>
      <c r="T69" s="110"/>
      <c r="U69" s="110"/>
      <c r="V69" s="110"/>
      <c r="W69" s="110"/>
      <c r="X69" s="110"/>
      <c r="Y69" s="110"/>
      <c r="Z69" s="110"/>
      <c r="AA69" s="110"/>
      <c r="AB69" s="110"/>
      <c r="AC69" s="110"/>
      <c r="AD69" s="110"/>
      <c r="AE69" s="110"/>
      <c r="AF69" s="110"/>
      <c r="AG69" s="110"/>
      <c r="AH69" s="110"/>
      <c r="AI69" s="110"/>
      <c r="AJ69" s="110"/>
      <c r="AK69" s="110"/>
      <c r="AL69" s="110"/>
      <c r="AM69" s="110"/>
      <c r="AN69" s="110"/>
      <c r="AO69" s="110"/>
      <c r="AP69" s="110"/>
      <c r="AQ69" s="110"/>
      <c r="AR69" s="110"/>
      <c r="AS69" s="110"/>
      <c r="AT69" s="110"/>
      <c r="AU69" s="110"/>
      <c r="AV69" s="110"/>
      <c r="AW69" s="110"/>
      <c r="AX69" s="110"/>
      <c r="AY69" s="110"/>
      <c r="AZ69" s="110"/>
      <c r="BA69" s="110"/>
      <c r="BB69" s="110"/>
      <c r="BC69" s="110"/>
      <c r="BD69" s="110"/>
      <c r="BE69" s="110"/>
      <c r="BF69" s="110"/>
      <c r="BG69" s="110"/>
    </row>
    <row r="70" spans="1:59" s="110" customFormat="1" ht="16" x14ac:dyDescent="0.2">
      <c r="B70" s="366"/>
      <c r="C70" s="13"/>
      <c r="D70" s="21"/>
      <c r="E70" s="368" t="e">
        <f>AVERAGE(C70:C72)</f>
        <v>#DIV/0!</v>
      </c>
      <c r="F70" s="300" t="e">
        <f>C70-$E$70</f>
        <v>#DIV/0!</v>
      </c>
      <c r="G70" s="375" t="e">
        <f>(E70-'Library - Standard Curve'!$C$43)/'Library - Standard Curve'!$C$41</f>
        <v>#DIV/0!</v>
      </c>
      <c r="H70" s="372" t="e">
        <f>10^G70</f>
        <v>#DIV/0!</v>
      </c>
    </row>
    <row r="71" spans="1:59" s="110" customFormat="1" ht="16" x14ac:dyDescent="0.2">
      <c r="B71" s="366"/>
      <c r="C71" s="13"/>
      <c r="D71" s="21"/>
      <c r="E71" s="368"/>
      <c r="F71" s="300" t="e">
        <f>C71-$E$70</f>
        <v>#DIV/0!</v>
      </c>
      <c r="G71" s="370"/>
      <c r="H71" s="373"/>
    </row>
    <row r="72" spans="1:59" s="112" customFormat="1" ht="17" thickBot="1" x14ac:dyDescent="0.25">
      <c r="A72" s="110"/>
      <c r="B72" s="366"/>
      <c r="C72" s="13"/>
      <c r="D72" s="21"/>
      <c r="E72" s="368"/>
      <c r="F72" s="300" t="e">
        <f>C72-$E$70</f>
        <v>#DIV/0!</v>
      </c>
      <c r="G72" s="370"/>
      <c r="H72" s="373"/>
      <c r="I72" s="110"/>
      <c r="J72" s="110"/>
      <c r="K72" s="110"/>
      <c r="L72" s="110"/>
      <c r="M72" s="110"/>
      <c r="N72" s="110"/>
      <c r="O72" s="110"/>
      <c r="P72" s="110"/>
      <c r="Q72" s="110"/>
      <c r="R72" s="110"/>
      <c r="S72" s="110"/>
      <c r="T72" s="110"/>
      <c r="U72" s="110"/>
      <c r="V72" s="110"/>
      <c r="W72" s="110"/>
      <c r="X72" s="110"/>
      <c r="Y72" s="110"/>
      <c r="Z72" s="110"/>
      <c r="AA72" s="110"/>
      <c r="AB72" s="110"/>
      <c r="AC72" s="110"/>
      <c r="AD72" s="110"/>
      <c r="AE72" s="110"/>
      <c r="AF72" s="110"/>
      <c r="AG72" s="110"/>
      <c r="AH72" s="110"/>
      <c r="AI72" s="110"/>
      <c r="AJ72" s="110"/>
      <c r="AK72" s="110"/>
      <c r="AL72" s="110"/>
      <c r="AM72" s="110"/>
      <c r="AN72" s="110"/>
      <c r="AO72" s="110"/>
      <c r="AP72" s="110"/>
      <c r="AQ72" s="110"/>
      <c r="AR72" s="110"/>
      <c r="AS72" s="110"/>
      <c r="AT72" s="110"/>
      <c r="AU72" s="110"/>
      <c r="AV72" s="110"/>
      <c r="AW72" s="110"/>
      <c r="AX72" s="110"/>
      <c r="AY72" s="110"/>
      <c r="AZ72" s="110"/>
      <c r="BA72" s="110"/>
      <c r="BB72" s="110"/>
      <c r="BC72" s="110"/>
      <c r="BD72" s="110"/>
      <c r="BE72" s="110"/>
      <c r="BF72" s="110"/>
      <c r="BG72" s="110"/>
    </row>
    <row r="73" spans="1:59" s="110" customFormat="1" ht="16" x14ac:dyDescent="0.2">
      <c r="B73" s="366"/>
      <c r="C73" s="13"/>
      <c r="D73" s="21"/>
      <c r="E73" s="368" t="e">
        <f>AVERAGE(C73:C75)</f>
        <v>#DIV/0!</v>
      </c>
      <c r="F73" s="300" t="e">
        <f>C73-$E$73</f>
        <v>#DIV/0!</v>
      </c>
      <c r="G73" s="375" t="e">
        <f>(E73-'Library - Standard Curve'!$C$43)/'Library - Standard Curve'!$C$41</f>
        <v>#DIV/0!</v>
      </c>
      <c r="H73" s="372" t="e">
        <f>10^G73</f>
        <v>#DIV/0!</v>
      </c>
    </row>
    <row r="74" spans="1:59" s="110" customFormat="1" ht="16" x14ac:dyDescent="0.2">
      <c r="B74" s="366"/>
      <c r="C74" s="13"/>
      <c r="D74" s="21"/>
      <c r="E74" s="368"/>
      <c r="F74" s="300" t="e">
        <f>C74-$E$73</f>
        <v>#DIV/0!</v>
      </c>
      <c r="G74" s="370"/>
      <c r="H74" s="373"/>
    </row>
    <row r="75" spans="1:59" s="112" customFormat="1" ht="17" thickBot="1" x14ac:dyDescent="0.25">
      <c r="A75" s="110"/>
      <c r="B75" s="366"/>
      <c r="C75" s="13"/>
      <c r="D75" s="21"/>
      <c r="E75" s="368"/>
      <c r="F75" s="300" t="e">
        <f>C75-$E$73</f>
        <v>#DIV/0!</v>
      </c>
      <c r="G75" s="370"/>
      <c r="H75" s="373"/>
      <c r="I75" s="110"/>
      <c r="J75" s="110"/>
      <c r="K75" s="110"/>
      <c r="L75" s="110"/>
      <c r="M75" s="110"/>
      <c r="N75" s="110"/>
      <c r="O75" s="110"/>
      <c r="P75" s="110"/>
      <c r="Q75" s="110"/>
      <c r="R75" s="110"/>
      <c r="S75" s="110"/>
      <c r="T75" s="110"/>
      <c r="U75" s="110"/>
      <c r="V75" s="110"/>
      <c r="W75" s="110"/>
      <c r="X75" s="110"/>
      <c r="Y75" s="110"/>
      <c r="Z75" s="110"/>
      <c r="AA75" s="110"/>
      <c r="AB75" s="110"/>
      <c r="AC75" s="110"/>
      <c r="AD75" s="110"/>
      <c r="AE75" s="110"/>
      <c r="AF75" s="110"/>
      <c r="AG75" s="110"/>
      <c r="AH75" s="110"/>
      <c r="AI75" s="110"/>
      <c r="AJ75" s="110"/>
      <c r="AK75" s="110"/>
      <c r="AL75" s="110"/>
      <c r="AM75" s="110"/>
      <c r="AN75" s="110"/>
      <c r="AO75" s="110"/>
      <c r="AP75" s="110"/>
      <c r="AQ75" s="110"/>
      <c r="AR75" s="110"/>
      <c r="AS75" s="110"/>
      <c r="AT75" s="110"/>
      <c r="AU75" s="110"/>
      <c r="AV75" s="110"/>
      <c r="AW75" s="110"/>
      <c r="AX75" s="110"/>
      <c r="AY75" s="110"/>
      <c r="AZ75" s="110"/>
      <c r="BA75" s="110"/>
      <c r="BB75" s="110"/>
      <c r="BC75" s="110"/>
      <c r="BD75" s="110"/>
      <c r="BE75" s="110"/>
      <c r="BF75" s="110"/>
      <c r="BG75" s="110"/>
    </row>
    <row r="76" spans="1:59" s="110" customFormat="1" ht="16" x14ac:dyDescent="0.2">
      <c r="B76" s="366"/>
      <c r="C76" s="13"/>
      <c r="D76" s="21"/>
      <c r="E76" s="368" t="e">
        <f>AVERAGE(C76:C78)</f>
        <v>#DIV/0!</v>
      </c>
      <c r="F76" s="300" t="e">
        <f>C76-$E$76</f>
        <v>#DIV/0!</v>
      </c>
      <c r="G76" s="370" t="e">
        <f>(E76-'Library - Standard Curve'!$C$43)/'Library - Standard Curve'!$C$41</f>
        <v>#DIV/0!</v>
      </c>
      <c r="H76" s="372" t="e">
        <f>10^G76</f>
        <v>#DIV/0!</v>
      </c>
    </row>
    <row r="77" spans="1:59" s="110" customFormat="1" ht="16" x14ac:dyDescent="0.2">
      <c r="B77" s="366"/>
      <c r="C77" s="13"/>
      <c r="D77" s="21"/>
      <c r="E77" s="368"/>
      <c r="F77" s="300" t="e">
        <f>C77-$E$76</f>
        <v>#DIV/0!</v>
      </c>
      <c r="G77" s="370"/>
      <c r="H77" s="373"/>
    </row>
    <row r="78" spans="1:59" s="112" customFormat="1" ht="17" thickBot="1" x14ac:dyDescent="0.25">
      <c r="A78" s="110"/>
      <c r="B78" s="367"/>
      <c r="C78" s="15"/>
      <c r="D78" s="23"/>
      <c r="E78" s="369"/>
      <c r="F78" s="301" t="e">
        <f>C78-$E$76</f>
        <v>#DIV/0!</v>
      </c>
      <c r="G78" s="371"/>
      <c r="H78" s="374"/>
      <c r="I78" s="110"/>
      <c r="J78" s="110"/>
      <c r="K78" s="110"/>
      <c r="L78" s="110"/>
      <c r="M78" s="110"/>
      <c r="N78" s="110"/>
      <c r="O78" s="110"/>
      <c r="P78" s="110"/>
      <c r="Q78" s="110"/>
      <c r="R78" s="110"/>
      <c r="S78" s="110"/>
      <c r="T78" s="110"/>
      <c r="U78" s="110"/>
      <c r="V78" s="110"/>
      <c r="W78" s="110"/>
      <c r="X78" s="110"/>
      <c r="Y78" s="110"/>
      <c r="Z78" s="110"/>
      <c r="AA78" s="110"/>
      <c r="AB78" s="110"/>
      <c r="AC78" s="110"/>
      <c r="AD78" s="110"/>
      <c r="AE78" s="110"/>
      <c r="AF78" s="110"/>
      <c r="AG78" s="110"/>
      <c r="AH78" s="110"/>
      <c r="AI78" s="110"/>
      <c r="AJ78" s="110"/>
      <c r="AK78" s="110"/>
      <c r="AL78" s="110"/>
      <c r="AM78" s="110"/>
      <c r="AN78" s="110"/>
      <c r="AO78" s="110"/>
      <c r="AP78" s="110"/>
      <c r="AQ78" s="110"/>
      <c r="AR78" s="110"/>
      <c r="AS78" s="110"/>
      <c r="AT78" s="110"/>
      <c r="AU78" s="110"/>
      <c r="AV78" s="110"/>
      <c r="AW78" s="110"/>
      <c r="AX78" s="110"/>
      <c r="AY78" s="110"/>
      <c r="AZ78" s="110"/>
      <c r="BA78" s="110"/>
      <c r="BB78" s="110"/>
      <c r="BC78" s="110"/>
      <c r="BD78" s="110"/>
      <c r="BE78" s="110"/>
      <c r="BF78" s="110"/>
      <c r="BG78" s="110"/>
    </row>
    <row r="79" spans="1:59" s="24" customFormat="1" x14ac:dyDescent="0.15">
      <c r="F79" s="108"/>
    </row>
    <row r="80" spans="1:59" s="24" customFormat="1" x14ac:dyDescent="0.15">
      <c r="F80" s="108"/>
    </row>
    <row r="81" spans="6:6" s="24" customFormat="1" x14ac:dyDescent="0.15">
      <c r="F81" s="108"/>
    </row>
  </sheetData>
  <sheetProtection algorithmName="SHA-512" hashValue="uDMA+z1MDqI0ec8wGqfJaqaC6YUrNS489LDKheu38SdhxtLq2cprbbnJPHLKsJlQuADco5fTTn9ARPVMtKNt1g==" saltValue="RqLi/fPFks7F+BrPCgSjNw==" spinCount="100000" sheet="1" objects="1" scenarios="1" selectLockedCells="1"/>
  <mergeCells count="96">
    <mergeCell ref="B16:B18"/>
    <mergeCell ref="E16:E18"/>
    <mergeCell ref="G16:G18"/>
    <mergeCell ref="H16:H18"/>
    <mergeCell ref="B19:B21"/>
    <mergeCell ref="E19:E21"/>
    <mergeCell ref="G19:G21"/>
    <mergeCell ref="H19:H21"/>
    <mergeCell ref="B7:B9"/>
    <mergeCell ref="E7:E9"/>
    <mergeCell ref="G7:G9"/>
    <mergeCell ref="H7:H9"/>
    <mergeCell ref="H13:H15"/>
    <mergeCell ref="B10:B12"/>
    <mergeCell ref="E10:E12"/>
    <mergeCell ref="G10:G12"/>
    <mergeCell ref="H10:H12"/>
    <mergeCell ref="B13:B15"/>
    <mergeCell ref="E13:E15"/>
    <mergeCell ref="G13:G15"/>
    <mergeCell ref="B22:B24"/>
    <mergeCell ref="E22:E24"/>
    <mergeCell ref="G22:G24"/>
    <mergeCell ref="H22:H24"/>
    <mergeCell ref="B25:B27"/>
    <mergeCell ref="E25:E27"/>
    <mergeCell ref="G25:G27"/>
    <mergeCell ref="H25:H27"/>
    <mergeCell ref="B28:B30"/>
    <mergeCell ref="E28:E30"/>
    <mergeCell ref="G28:G30"/>
    <mergeCell ref="H28:H30"/>
    <mergeCell ref="B31:B33"/>
    <mergeCell ref="E31:E33"/>
    <mergeCell ref="G31:G33"/>
    <mergeCell ref="H31:H33"/>
    <mergeCell ref="B34:B36"/>
    <mergeCell ref="E34:E36"/>
    <mergeCell ref="G34:G36"/>
    <mergeCell ref="H34:H36"/>
    <mergeCell ref="B37:B39"/>
    <mergeCell ref="E37:E39"/>
    <mergeCell ref="G37:G39"/>
    <mergeCell ref="H37:H39"/>
    <mergeCell ref="B40:B42"/>
    <mergeCell ref="E40:E42"/>
    <mergeCell ref="G40:G42"/>
    <mergeCell ref="H40:H42"/>
    <mergeCell ref="B43:B45"/>
    <mergeCell ref="E43:E45"/>
    <mergeCell ref="G43:G45"/>
    <mergeCell ref="H43:H45"/>
    <mergeCell ref="B46:B48"/>
    <mergeCell ref="E46:E48"/>
    <mergeCell ref="G46:G48"/>
    <mergeCell ref="H46:H48"/>
    <mergeCell ref="B49:B51"/>
    <mergeCell ref="E49:E51"/>
    <mergeCell ref="G49:G51"/>
    <mergeCell ref="H49:H51"/>
    <mergeCell ref="B52:B54"/>
    <mergeCell ref="E52:E54"/>
    <mergeCell ref="G52:G54"/>
    <mergeCell ref="H52:H54"/>
    <mergeCell ref="B55:B57"/>
    <mergeCell ref="E55:E57"/>
    <mergeCell ref="G55:G57"/>
    <mergeCell ref="H55:H57"/>
    <mergeCell ref="B58:B60"/>
    <mergeCell ref="E58:E60"/>
    <mergeCell ref="G58:G60"/>
    <mergeCell ref="H58:H60"/>
    <mergeCell ref="B61:B63"/>
    <mergeCell ref="E61:E63"/>
    <mergeCell ref="G61:G63"/>
    <mergeCell ref="H61:H63"/>
    <mergeCell ref="B64:B66"/>
    <mergeCell ref="E64:E66"/>
    <mergeCell ref="G64:G66"/>
    <mergeCell ref="H64:H66"/>
    <mergeCell ref="B67:B69"/>
    <mergeCell ref="E67:E69"/>
    <mergeCell ref="G67:G69"/>
    <mergeCell ref="H67:H69"/>
    <mergeCell ref="B76:B78"/>
    <mergeCell ref="E76:E78"/>
    <mergeCell ref="G76:G78"/>
    <mergeCell ref="H76:H78"/>
    <mergeCell ref="B70:B72"/>
    <mergeCell ref="E70:E72"/>
    <mergeCell ref="G70:G72"/>
    <mergeCell ref="H70:H72"/>
    <mergeCell ref="B73:B75"/>
    <mergeCell ref="E73:E75"/>
    <mergeCell ref="G73:G75"/>
    <mergeCell ref="H73:H75"/>
  </mergeCells>
  <pageMargins left="0.7" right="0.7" top="0.75" bottom="0.75" header="0.3" footer="0.3"/>
  <pageSetup scale="38" orientation="landscape" horizontalDpi="90" verticalDpi="90" r:id="rId1"/>
  <headerFooter>
    <oddHeader>&amp;L&amp;G</oddHeader>
    <oddFooter>&amp;C2425 55th Street, Boulder, CO 80301 | archer-tech@idtdna.com
RA-DOC-064 / REV02
For research use only. Not for use in diagnostic procedures.</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187C92-35CA-7747-A529-C735BDB506EF}">
  <sheetPr codeName="Sheet3">
    <pageSetUpPr fitToPage="1"/>
  </sheetPr>
  <dimension ref="A1:O53"/>
  <sheetViews>
    <sheetView view="pageLayout" topLeftCell="A107" zoomScaleNormal="100" workbookViewId="0">
      <selection activeCell="D8" sqref="D8"/>
    </sheetView>
  </sheetViews>
  <sheetFormatPr baseColWidth="10" defaultColWidth="10.83203125" defaultRowHeight="13" x14ac:dyDescent="0.15"/>
  <cols>
    <col min="1" max="1" width="1.5" style="24" customWidth="1"/>
    <col min="2" max="2" width="7.83203125" style="24" customWidth="1"/>
    <col min="3" max="3" width="26.6640625" style="24" customWidth="1"/>
    <col min="4" max="4" width="27.5" style="24" customWidth="1"/>
    <col min="5" max="5" width="12.83203125" style="24" customWidth="1"/>
    <col min="6" max="6" width="19.5" style="33" customWidth="1"/>
    <col min="7" max="7" width="20.6640625" style="24" customWidth="1"/>
    <col min="8" max="8" width="17.33203125" style="41" customWidth="1"/>
    <col min="9" max="9" width="19.6640625" style="42" customWidth="1"/>
    <col min="10" max="10" width="2" style="24" customWidth="1"/>
    <col min="11" max="11" width="60.5" style="24" customWidth="1"/>
    <col min="12" max="12" width="23.83203125" style="24" customWidth="1"/>
    <col min="13" max="14" width="10.83203125" style="24"/>
    <col min="15" max="15" width="11" style="24" customWidth="1"/>
    <col min="16" max="16384" width="10.83203125" style="24"/>
  </cols>
  <sheetData>
    <row r="1" spans="1:15" ht="34" customHeight="1" x14ac:dyDescent="0.2">
      <c r="B1" s="25" t="s">
        <v>37</v>
      </c>
      <c r="C1" s="25"/>
      <c r="D1" s="25"/>
      <c r="E1" s="25"/>
      <c r="F1" s="26"/>
      <c r="G1" s="25"/>
      <c r="H1" s="70"/>
      <c r="I1" s="27"/>
      <c r="J1" s="25"/>
    </row>
    <row r="2" spans="1:15" s="28" customFormat="1" ht="20" customHeight="1" x14ac:dyDescent="0.2">
      <c r="B2" s="29" t="s">
        <v>38</v>
      </c>
      <c r="C2" s="30"/>
      <c r="D2" s="30"/>
      <c r="E2" s="30"/>
      <c r="F2" s="31"/>
      <c r="G2" s="30"/>
      <c r="H2" s="70"/>
      <c r="I2" s="32"/>
      <c r="J2" s="30"/>
    </row>
    <row r="3" spans="1:15" s="28" customFormat="1" ht="20" customHeight="1" x14ac:dyDescent="0.2">
      <c r="B3" s="29" t="s">
        <v>39</v>
      </c>
      <c r="C3" s="30"/>
      <c r="D3" s="30"/>
      <c r="E3" s="30"/>
      <c r="F3" s="31"/>
      <c r="G3" s="30"/>
      <c r="H3" s="70"/>
      <c r="I3" s="32"/>
      <c r="J3" s="30"/>
    </row>
    <row r="4" spans="1:15" s="28" customFormat="1" ht="20" customHeight="1" x14ac:dyDescent="0.2">
      <c r="B4" s="29" t="s">
        <v>40</v>
      </c>
      <c r="C4" s="30"/>
      <c r="D4" s="30"/>
      <c r="E4" s="30"/>
      <c r="F4" s="31"/>
      <c r="G4" s="30"/>
      <c r="H4" s="70"/>
      <c r="I4" s="32"/>
      <c r="J4" s="30"/>
    </row>
    <row r="5" spans="1:15" s="28" customFormat="1" ht="20" customHeight="1" x14ac:dyDescent="0.2">
      <c r="B5" s="351" t="s">
        <v>41</v>
      </c>
      <c r="C5" s="30"/>
      <c r="D5" s="30"/>
      <c r="E5" s="30"/>
      <c r="F5" s="31"/>
      <c r="G5" s="30"/>
      <c r="H5" s="70"/>
      <c r="I5" s="32"/>
      <c r="J5" s="30"/>
    </row>
    <row r="6" spans="1:15" s="28" customFormat="1" ht="20" customHeight="1" x14ac:dyDescent="0.2">
      <c r="B6" s="351" t="s">
        <v>42</v>
      </c>
      <c r="C6" s="30"/>
      <c r="D6" s="30"/>
      <c r="E6" s="30"/>
      <c r="F6" s="31"/>
      <c r="G6" s="30"/>
      <c r="H6" s="70"/>
      <c r="I6" s="32"/>
      <c r="J6" s="30"/>
    </row>
    <row r="7" spans="1:15" s="28" customFormat="1" ht="20" customHeight="1" thickBot="1" x14ac:dyDescent="0.25">
      <c r="B7" s="351"/>
      <c r="C7" s="30"/>
      <c r="D7" s="30"/>
      <c r="E7" s="30"/>
      <c r="F7" s="31"/>
      <c r="G7" s="30"/>
      <c r="H7" s="70"/>
      <c r="I7" s="32"/>
      <c r="J7" s="30"/>
    </row>
    <row r="8" spans="1:15" s="258" customFormat="1" ht="20" customHeight="1" thickBot="1" x14ac:dyDescent="0.2">
      <c r="B8" s="381" t="s">
        <v>43</v>
      </c>
      <c r="C8" s="382"/>
      <c r="D8" s="352">
        <v>5</v>
      </c>
      <c r="E8" s="353"/>
      <c r="F8" s="259"/>
      <c r="G8" s="260"/>
      <c r="H8" s="72"/>
      <c r="I8" s="261"/>
      <c r="J8" s="260"/>
    </row>
    <row r="9" spans="1:15" s="258" customFormat="1" ht="18" customHeight="1" thickBot="1" x14ac:dyDescent="0.2">
      <c r="B9" s="262"/>
      <c r="C9" s="260"/>
      <c r="D9" s="260"/>
      <c r="E9" s="260"/>
      <c r="F9" s="259"/>
      <c r="G9" s="260"/>
      <c r="H9" s="72"/>
      <c r="I9" s="261"/>
      <c r="J9" s="260"/>
      <c r="K9" s="263" t="s">
        <v>44</v>
      </c>
      <c r="L9" s="263"/>
    </row>
    <row r="10" spans="1:15" s="265" customFormat="1" ht="36" customHeight="1" thickBot="1" x14ac:dyDescent="0.2">
      <c r="A10" s="264"/>
      <c r="B10" s="34" t="s">
        <v>45</v>
      </c>
      <c r="C10" s="35" t="s">
        <v>34</v>
      </c>
      <c r="D10" s="35" t="s">
        <v>36</v>
      </c>
      <c r="E10" s="71" t="s">
        <v>46</v>
      </c>
      <c r="F10" s="36" t="s">
        <v>47</v>
      </c>
      <c r="G10" s="37" t="s">
        <v>48</v>
      </c>
      <c r="H10" s="37" t="s">
        <v>49</v>
      </c>
      <c r="I10" s="38" t="s">
        <v>50</v>
      </c>
      <c r="K10" s="39" t="s">
        <v>51</v>
      </c>
      <c r="L10" s="39" t="s">
        <v>52</v>
      </c>
      <c r="M10" s="44"/>
      <c r="N10" s="44"/>
      <c r="O10" s="44"/>
    </row>
    <row r="11" spans="1:15" s="265" customFormat="1" ht="16" customHeight="1" x14ac:dyDescent="0.15">
      <c r="A11" s="264"/>
      <c r="B11" s="266">
        <v>1</v>
      </c>
      <c r="C11" s="267">
        <f>'Library - Raw Data'!B7</f>
        <v>0</v>
      </c>
      <c r="D11" s="268" t="e">
        <f>'Library - Raw Data'!H7</f>
        <v>#DIV/0!</v>
      </c>
      <c r="E11" s="289">
        <v>250000</v>
      </c>
      <c r="F11" s="290">
        <v>357</v>
      </c>
      <c r="G11" s="269" t="e">
        <f>D11*(E11/1000)*($L$16/F11)</f>
        <v>#DIV/0!</v>
      </c>
      <c r="H11" s="270">
        <v>3</v>
      </c>
      <c r="I11" s="271" t="e">
        <f t="shared" ref="I11:I20" si="0">$G11*(H11/$D$8)-H11</f>
        <v>#DIV/0!</v>
      </c>
      <c r="K11" s="272" t="s">
        <v>53</v>
      </c>
      <c r="L11" s="64">
        <v>357</v>
      </c>
      <c r="M11" s="44"/>
      <c r="N11" s="44"/>
      <c r="O11" s="44"/>
    </row>
    <row r="12" spans="1:15" s="265" customFormat="1" ht="16" customHeight="1" x14ac:dyDescent="0.15">
      <c r="A12" s="264"/>
      <c r="B12" s="273">
        <v>2</v>
      </c>
      <c r="C12" s="267">
        <f>'Library - Raw Data'!B10</f>
        <v>0</v>
      </c>
      <c r="D12" s="268" t="e">
        <f>'Library - Raw Data'!H10</f>
        <v>#DIV/0!</v>
      </c>
      <c r="E12" s="291">
        <v>250000</v>
      </c>
      <c r="F12" s="292">
        <v>357</v>
      </c>
      <c r="G12" s="274" t="e">
        <f>D12*(E12/1000)*($L$16/F12)</f>
        <v>#DIV/0!</v>
      </c>
      <c r="H12" s="275">
        <v>3</v>
      </c>
      <c r="I12" s="276" t="e">
        <f t="shared" si="0"/>
        <v>#DIV/0!</v>
      </c>
      <c r="K12" s="272" t="s">
        <v>54</v>
      </c>
      <c r="L12" s="64">
        <v>407</v>
      </c>
      <c r="M12" s="277"/>
      <c r="N12" s="277"/>
      <c r="O12" s="277"/>
    </row>
    <row r="13" spans="1:15" s="264" customFormat="1" ht="16" customHeight="1" x14ac:dyDescent="0.15">
      <c r="B13" s="273">
        <v>3</v>
      </c>
      <c r="C13" s="267">
        <f>'Library - Raw Data'!B13</f>
        <v>0</v>
      </c>
      <c r="D13" s="268" t="e">
        <f>'Library - Raw Data'!H13</f>
        <v>#DIV/0!</v>
      </c>
      <c r="E13" s="291">
        <v>250000</v>
      </c>
      <c r="F13" s="292">
        <v>357</v>
      </c>
      <c r="G13" s="274" t="e">
        <f>D13*(E13/1000)*($L$16/F13)</f>
        <v>#DIV/0!</v>
      </c>
      <c r="H13" s="275">
        <v>3</v>
      </c>
      <c r="I13" s="276" t="e">
        <f t="shared" si="0"/>
        <v>#DIV/0!</v>
      </c>
      <c r="J13" s="108"/>
      <c r="K13" s="272" t="s">
        <v>55</v>
      </c>
      <c r="L13" s="278">
        <v>257</v>
      </c>
    </row>
    <row r="14" spans="1:15" s="264" customFormat="1" ht="16" x14ac:dyDescent="0.15">
      <c r="B14" s="273">
        <v>4</v>
      </c>
      <c r="C14" s="267">
        <f>'Library - Raw Data'!B16</f>
        <v>0</v>
      </c>
      <c r="D14" s="268" t="e">
        <f>'Library - Raw Data'!H16</f>
        <v>#DIV/0!</v>
      </c>
      <c r="E14" s="291">
        <v>250000</v>
      </c>
      <c r="F14" s="292">
        <v>357</v>
      </c>
      <c r="G14" s="274" t="e">
        <f>D14*(E14/1000)*($L$16/F14)</f>
        <v>#DIV/0!</v>
      </c>
      <c r="H14" s="275">
        <v>3</v>
      </c>
      <c r="I14" s="276" t="e">
        <f t="shared" si="0"/>
        <v>#DIV/0!</v>
      </c>
      <c r="J14" s="108"/>
      <c r="K14" s="272" t="s">
        <v>56</v>
      </c>
      <c r="L14" s="278">
        <v>307</v>
      </c>
    </row>
    <row r="15" spans="1:15" s="264" customFormat="1" ht="16" customHeight="1" thickBot="1" x14ac:dyDescent="0.2">
      <c r="B15" s="273">
        <v>5</v>
      </c>
      <c r="C15" s="267">
        <f>'Library - Raw Data'!B19</f>
        <v>0</v>
      </c>
      <c r="D15" s="268" t="e">
        <f>'Library - Raw Data'!H19</f>
        <v>#DIV/0!</v>
      </c>
      <c r="E15" s="291">
        <v>250000</v>
      </c>
      <c r="F15" s="292">
        <v>357</v>
      </c>
      <c r="G15" s="274" t="e">
        <f t="shared" ref="G15:G34" si="1">D15*(E15/1000)*($L$16/F15)</f>
        <v>#DIV/0!</v>
      </c>
      <c r="H15" s="275">
        <v>3</v>
      </c>
      <c r="I15" s="276" t="e">
        <f t="shared" si="0"/>
        <v>#DIV/0!</v>
      </c>
      <c r="J15" s="108"/>
      <c r="K15" s="279" t="s">
        <v>57</v>
      </c>
      <c r="L15" s="280">
        <v>407</v>
      </c>
    </row>
    <row r="16" spans="1:15" s="264" customFormat="1" ht="16" x14ac:dyDescent="0.15">
      <c r="B16" s="273">
        <v>6</v>
      </c>
      <c r="C16" s="267">
        <f>'Library - Raw Data'!B22</f>
        <v>0</v>
      </c>
      <c r="D16" s="268" t="e">
        <f>'Library - Raw Data'!H22</f>
        <v>#DIV/0!</v>
      </c>
      <c r="E16" s="291">
        <v>250000</v>
      </c>
      <c r="F16" s="292">
        <v>357</v>
      </c>
      <c r="G16" s="274" t="e">
        <f t="shared" si="1"/>
        <v>#DIV/0!</v>
      </c>
      <c r="H16" s="275">
        <v>3</v>
      </c>
      <c r="I16" s="276" t="e">
        <f t="shared" si="0"/>
        <v>#DIV/0!</v>
      </c>
      <c r="J16" s="108"/>
      <c r="K16" s="249" t="s">
        <v>58</v>
      </c>
      <c r="L16" s="64">
        <v>452</v>
      </c>
    </row>
    <row r="17" spans="2:15" s="264" customFormat="1" ht="16" x14ac:dyDescent="0.15">
      <c r="B17" s="273">
        <v>7</v>
      </c>
      <c r="C17" s="267">
        <f>'Library - Raw Data'!B25</f>
        <v>0</v>
      </c>
      <c r="D17" s="268" t="e">
        <f>'Library - Raw Data'!H25</f>
        <v>#DIV/0!</v>
      </c>
      <c r="E17" s="291">
        <v>250000</v>
      </c>
      <c r="F17" s="292">
        <v>357</v>
      </c>
      <c r="G17" s="274" t="e">
        <f t="shared" si="1"/>
        <v>#DIV/0!</v>
      </c>
      <c r="H17" s="275">
        <v>3</v>
      </c>
      <c r="I17" s="276" t="e">
        <f t="shared" si="0"/>
        <v>#DIV/0!</v>
      </c>
      <c r="J17" s="108"/>
      <c r="M17" s="281"/>
    </row>
    <row r="18" spans="2:15" s="264" customFormat="1" ht="17" thickBot="1" x14ac:dyDescent="0.2">
      <c r="B18" s="282">
        <v>8</v>
      </c>
      <c r="C18" s="283">
        <f>'Library - Raw Data'!B28</f>
        <v>0</v>
      </c>
      <c r="D18" s="284" t="e">
        <f>'Library - Raw Data'!H28</f>
        <v>#DIV/0!</v>
      </c>
      <c r="E18" s="293">
        <v>250000</v>
      </c>
      <c r="F18" s="294">
        <v>357</v>
      </c>
      <c r="G18" s="285" t="e">
        <f t="shared" si="1"/>
        <v>#DIV/0!</v>
      </c>
      <c r="H18" s="286">
        <v>3</v>
      </c>
      <c r="I18" s="287" t="e">
        <f t="shared" si="0"/>
        <v>#DIV/0!</v>
      </c>
      <c r="J18" s="108"/>
      <c r="L18" s="288" t="s">
        <v>59</v>
      </c>
    </row>
    <row r="19" spans="2:15" s="264" customFormat="1" ht="16" customHeight="1" x14ac:dyDescent="0.15">
      <c r="B19" s="266">
        <v>9</v>
      </c>
      <c r="C19" s="267">
        <f>'Library - Raw Data'!B31</f>
        <v>0</v>
      </c>
      <c r="D19" s="268" t="e">
        <f>'Library - Raw Data'!H31</f>
        <v>#DIV/0!</v>
      </c>
      <c r="E19" s="295"/>
      <c r="F19" s="296"/>
      <c r="G19" s="269" t="e">
        <f t="shared" si="1"/>
        <v>#DIV/0!</v>
      </c>
      <c r="H19" s="270"/>
      <c r="I19" s="271" t="e">
        <f t="shared" si="0"/>
        <v>#DIV/0!</v>
      </c>
      <c r="J19" s="108"/>
      <c r="M19" s="44"/>
      <c r="N19" s="44"/>
      <c r="O19" s="44"/>
    </row>
    <row r="20" spans="2:15" s="264" customFormat="1" ht="16" customHeight="1" x14ac:dyDescent="0.15">
      <c r="B20" s="273">
        <v>10</v>
      </c>
      <c r="C20" s="267">
        <f>'Library - Raw Data'!B34</f>
        <v>0</v>
      </c>
      <c r="D20" s="268" t="e">
        <f>'Library - Raw Data'!H34</f>
        <v>#DIV/0!</v>
      </c>
      <c r="E20" s="291"/>
      <c r="F20" s="292"/>
      <c r="G20" s="274" t="e">
        <f t="shared" si="1"/>
        <v>#DIV/0!</v>
      </c>
      <c r="H20" s="275"/>
      <c r="I20" s="276" t="e">
        <f t="shared" si="0"/>
        <v>#DIV/0!</v>
      </c>
      <c r="J20" s="108"/>
    </row>
    <row r="21" spans="2:15" s="264" customFormat="1" ht="16" customHeight="1" x14ac:dyDescent="0.15">
      <c r="B21" s="273">
        <v>11</v>
      </c>
      <c r="C21" s="267">
        <f>'Library - Raw Data'!B37</f>
        <v>0</v>
      </c>
      <c r="D21" s="268" t="e">
        <f>'Library - Raw Data'!H37</f>
        <v>#DIV/0!</v>
      </c>
      <c r="E21" s="291"/>
      <c r="F21" s="292"/>
      <c r="G21" s="274" t="e">
        <f t="shared" si="1"/>
        <v>#DIV/0!</v>
      </c>
      <c r="H21" s="275"/>
      <c r="I21" s="276" t="e">
        <f t="shared" ref="I21:I34" si="2">$G21*(H21/$D$8)-H21</f>
        <v>#DIV/0!</v>
      </c>
      <c r="J21" s="108"/>
      <c r="K21" s="380" t="s">
        <v>60</v>
      </c>
      <c r="L21" s="380"/>
    </row>
    <row r="22" spans="2:15" s="264" customFormat="1" ht="16" customHeight="1" x14ac:dyDescent="0.15">
      <c r="B22" s="273">
        <v>12</v>
      </c>
      <c r="C22" s="267">
        <f>'Library - Raw Data'!B40</f>
        <v>0</v>
      </c>
      <c r="D22" s="268" t="e">
        <f>'Library - Raw Data'!H40</f>
        <v>#DIV/0!</v>
      </c>
      <c r="E22" s="291"/>
      <c r="F22" s="292"/>
      <c r="G22" s="274" t="e">
        <f t="shared" si="1"/>
        <v>#DIV/0!</v>
      </c>
      <c r="H22" s="275"/>
      <c r="I22" s="276" t="e">
        <f t="shared" si="2"/>
        <v>#DIV/0!</v>
      </c>
      <c r="J22" s="108"/>
      <c r="K22" s="380"/>
      <c r="L22" s="380"/>
    </row>
    <row r="23" spans="2:15" s="264" customFormat="1" ht="16" customHeight="1" x14ac:dyDescent="0.15">
      <c r="B23" s="273">
        <v>13</v>
      </c>
      <c r="C23" s="267">
        <f>'Library - Raw Data'!B43</f>
        <v>0</v>
      </c>
      <c r="D23" s="268" t="e">
        <f>'Library - Raw Data'!H43</f>
        <v>#DIV/0!</v>
      </c>
      <c r="E23" s="291"/>
      <c r="F23" s="292"/>
      <c r="G23" s="274" t="e">
        <f t="shared" si="1"/>
        <v>#DIV/0!</v>
      </c>
      <c r="H23" s="275"/>
      <c r="I23" s="276" t="e">
        <f t="shared" si="2"/>
        <v>#DIV/0!</v>
      </c>
      <c r="J23" s="108"/>
      <c r="K23" s="380"/>
      <c r="L23" s="380"/>
    </row>
    <row r="24" spans="2:15" s="264" customFormat="1" ht="16" x14ac:dyDescent="0.15">
      <c r="B24" s="273">
        <v>14</v>
      </c>
      <c r="C24" s="267">
        <f>'Library - Raw Data'!B46</f>
        <v>0</v>
      </c>
      <c r="D24" s="268" t="e">
        <f>'Library - Raw Data'!H46</f>
        <v>#DIV/0!</v>
      </c>
      <c r="E24" s="291"/>
      <c r="F24" s="292"/>
      <c r="G24" s="274" t="e">
        <f t="shared" si="1"/>
        <v>#DIV/0!</v>
      </c>
      <c r="H24" s="275"/>
      <c r="I24" s="276" t="e">
        <f t="shared" si="2"/>
        <v>#DIV/0!</v>
      </c>
      <c r="J24" s="108"/>
      <c r="K24" s="380"/>
      <c r="L24" s="380"/>
    </row>
    <row r="25" spans="2:15" s="264" customFormat="1" ht="16" x14ac:dyDescent="0.15">
      <c r="B25" s="273">
        <v>15</v>
      </c>
      <c r="C25" s="267">
        <f>'Library - Raw Data'!B49</f>
        <v>0</v>
      </c>
      <c r="D25" s="268" t="e">
        <f>'Library - Raw Data'!H49</f>
        <v>#DIV/0!</v>
      </c>
      <c r="E25" s="291"/>
      <c r="F25" s="292"/>
      <c r="G25" s="274" t="e">
        <f t="shared" si="1"/>
        <v>#DIV/0!</v>
      </c>
      <c r="H25" s="275"/>
      <c r="I25" s="276" t="e">
        <f t="shared" si="2"/>
        <v>#DIV/0!</v>
      </c>
      <c r="J25" s="108"/>
    </row>
    <row r="26" spans="2:15" s="264" customFormat="1" ht="17" thickBot="1" x14ac:dyDescent="0.2">
      <c r="B26" s="282">
        <v>16</v>
      </c>
      <c r="C26" s="283">
        <f>'Library - Raw Data'!B52</f>
        <v>0</v>
      </c>
      <c r="D26" s="284" t="e">
        <f>'Library - Raw Data'!H52</f>
        <v>#DIV/0!</v>
      </c>
      <c r="E26" s="293"/>
      <c r="F26" s="294"/>
      <c r="G26" s="285" t="e">
        <f t="shared" si="1"/>
        <v>#DIV/0!</v>
      </c>
      <c r="H26" s="286"/>
      <c r="I26" s="287" t="e">
        <f t="shared" si="2"/>
        <v>#DIV/0!</v>
      </c>
      <c r="J26" s="108"/>
    </row>
    <row r="27" spans="2:15" s="264" customFormat="1" ht="16" x14ac:dyDescent="0.15">
      <c r="B27" s="266">
        <v>17</v>
      </c>
      <c r="C27" s="267">
        <f>'Library - Raw Data'!B55</f>
        <v>0</v>
      </c>
      <c r="D27" s="268" t="e">
        <f>'Library - Raw Data'!H55</f>
        <v>#DIV/0!</v>
      </c>
      <c r="E27" s="289"/>
      <c r="F27" s="296"/>
      <c r="G27" s="269" t="e">
        <f t="shared" si="1"/>
        <v>#DIV/0!</v>
      </c>
      <c r="H27" s="270"/>
      <c r="I27" s="271" t="e">
        <f t="shared" si="2"/>
        <v>#DIV/0!</v>
      </c>
      <c r="J27" s="108"/>
    </row>
    <row r="28" spans="2:15" s="264" customFormat="1" ht="16" x14ac:dyDescent="0.15">
      <c r="B28" s="273">
        <v>18</v>
      </c>
      <c r="C28" s="267">
        <f>'Library - Raw Data'!B58</f>
        <v>0</v>
      </c>
      <c r="D28" s="268" t="e">
        <f>'Library - Raw Data'!H58</f>
        <v>#DIV/0!</v>
      </c>
      <c r="E28" s="291"/>
      <c r="F28" s="292"/>
      <c r="G28" s="274" t="e">
        <f t="shared" si="1"/>
        <v>#DIV/0!</v>
      </c>
      <c r="H28" s="275"/>
      <c r="I28" s="276" t="e">
        <f t="shared" si="2"/>
        <v>#DIV/0!</v>
      </c>
      <c r="J28" s="108"/>
    </row>
    <row r="29" spans="2:15" s="264" customFormat="1" ht="16" x14ac:dyDescent="0.15">
      <c r="B29" s="273">
        <v>19</v>
      </c>
      <c r="C29" s="267">
        <f>'Library - Raw Data'!B61</f>
        <v>0</v>
      </c>
      <c r="D29" s="268" t="e">
        <f>'Library - Raw Data'!H61</f>
        <v>#DIV/0!</v>
      </c>
      <c r="E29" s="291"/>
      <c r="F29" s="292"/>
      <c r="G29" s="274" t="e">
        <f t="shared" si="1"/>
        <v>#DIV/0!</v>
      </c>
      <c r="H29" s="275"/>
      <c r="I29" s="276" t="e">
        <f t="shared" si="2"/>
        <v>#DIV/0!</v>
      </c>
      <c r="J29" s="108"/>
    </row>
    <row r="30" spans="2:15" s="264" customFormat="1" ht="16" x14ac:dyDescent="0.15">
      <c r="B30" s="273">
        <v>20</v>
      </c>
      <c r="C30" s="267">
        <f>'Library - Raw Data'!B64</f>
        <v>0</v>
      </c>
      <c r="D30" s="268" t="e">
        <f>'Library - Raw Data'!H64</f>
        <v>#DIV/0!</v>
      </c>
      <c r="E30" s="291"/>
      <c r="F30" s="292"/>
      <c r="G30" s="274" t="e">
        <f t="shared" si="1"/>
        <v>#DIV/0!</v>
      </c>
      <c r="H30" s="275"/>
      <c r="I30" s="276" t="e">
        <f t="shared" si="2"/>
        <v>#DIV/0!</v>
      </c>
      <c r="J30" s="108"/>
    </row>
    <row r="31" spans="2:15" s="264" customFormat="1" ht="16" x14ac:dyDescent="0.15">
      <c r="B31" s="273">
        <v>21</v>
      </c>
      <c r="C31" s="267">
        <f>'Library - Raw Data'!B67</f>
        <v>0</v>
      </c>
      <c r="D31" s="268" t="e">
        <f>'Library - Raw Data'!H67</f>
        <v>#DIV/0!</v>
      </c>
      <c r="E31" s="291"/>
      <c r="F31" s="292"/>
      <c r="G31" s="274" t="e">
        <f t="shared" si="1"/>
        <v>#DIV/0!</v>
      </c>
      <c r="H31" s="275"/>
      <c r="I31" s="276" t="e">
        <f t="shared" si="2"/>
        <v>#DIV/0!</v>
      </c>
      <c r="J31" s="108"/>
    </row>
    <row r="32" spans="2:15" s="264" customFormat="1" ht="16" x14ac:dyDescent="0.15">
      <c r="B32" s="273">
        <v>22</v>
      </c>
      <c r="C32" s="267">
        <f>'Library - Raw Data'!B70</f>
        <v>0</v>
      </c>
      <c r="D32" s="268" t="e">
        <f>'Library - Raw Data'!H70</f>
        <v>#DIV/0!</v>
      </c>
      <c r="E32" s="291"/>
      <c r="F32" s="292"/>
      <c r="G32" s="274" t="e">
        <f t="shared" si="1"/>
        <v>#DIV/0!</v>
      </c>
      <c r="H32" s="275"/>
      <c r="I32" s="276" t="e">
        <f t="shared" si="2"/>
        <v>#DIV/0!</v>
      </c>
      <c r="J32" s="108"/>
    </row>
    <row r="33" spans="2:11" s="264" customFormat="1" ht="16" x14ac:dyDescent="0.15">
      <c r="B33" s="273">
        <v>23</v>
      </c>
      <c r="C33" s="267">
        <f>'Library - Raw Data'!B73</f>
        <v>0</v>
      </c>
      <c r="D33" s="268" t="e">
        <f>'Library - Raw Data'!H73</f>
        <v>#DIV/0!</v>
      </c>
      <c r="E33" s="291"/>
      <c r="F33" s="292"/>
      <c r="G33" s="274" t="e">
        <f t="shared" si="1"/>
        <v>#DIV/0!</v>
      </c>
      <c r="H33" s="275"/>
      <c r="I33" s="276" t="e">
        <f t="shared" si="2"/>
        <v>#DIV/0!</v>
      </c>
      <c r="J33" s="108"/>
    </row>
    <row r="34" spans="2:11" s="264" customFormat="1" ht="17" thickBot="1" x14ac:dyDescent="0.2">
      <c r="B34" s="282">
        <v>24</v>
      </c>
      <c r="C34" s="283">
        <f>'Library - Raw Data'!B76</f>
        <v>0</v>
      </c>
      <c r="D34" s="284" t="e">
        <f>'Library - Raw Data'!H76</f>
        <v>#DIV/0!</v>
      </c>
      <c r="E34" s="293"/>
      <c r="F34" s="294"/>
      <c r="G34" s="285" t="e">
        <f t="shared" si="1"/>
        <v>#DIV/0!</v>
      </c>
      <c r="H34" s="286"/>
      <c r="I34" s="287" t="e">
        <f t="shared" si="2"/>
        <v>#DIV/0!</v>
      </c>
      <c r="J34" s="108"/>
    </row>
    <row r="35" spans="2:11" x14ac:dyDescent="0.15">
      <c r="J35" s="41"/>
    </row>
    <row r="36" spans="2:11" x14ac:dyDescent="0.15">
      <c r="J36" s="41"/>
    </row>
    <row r="37" spans="2:11" x14ac:dyDescent="0.15">
      <c r="J37" s="41"/>
    </row>
    <row r="38" spans="2:11" ht="14" x14ac:dyDescent="0.15">
      <c r="B38" s="43"/>
      <c r="J38" s="41"/>
    </row>
    <row r="39" spans="2:11" x14ac:dyDescent="0.15">
      <c r="J39" s="41"/>
    </row>
    <row r="40" spans="2:11" x14ac:dyDescent="0.15">
      <c r="J40" s="41"/>
    </row>
    <row r="41" spans="2:11" x14ac:dyDescent="0.15">
      <c r="J41" s="41"/>
    </row>
    <row r="42" spans="2:11" x14ac:dyDescent="0.15">
      <c r="J42" s="41"/>
      <c r="K42" s="44"/>
    </row>
    <row r="43" spans="2:11" x14ac:dyDescent="0.15">
      <c r="J43" s="41"/>
      <c r="K43" s="44"/>
    </row>
    <row r="44" spans="2:11" ht="13" customHeight="1" x14ac:dyDescent="0.15">
      <c r="J44" s="45"/>
      <c r="K44" s="44"/>
    </row>
    <row r="45" spans="2:11" x14ac:dyDescent="0.15">
      <c r="J45" s="45"/>
      <c r="K45" s="44"/>
    </row>
    <row r="46" spans="2:11" x14ac:dyDescent="0.15">
      <c r="J46" s="45"/>
      <c r="K46" s="44"/>
    </row>
    <row r="47" spans="2:11" x14ac:dyDescent="0.15">
      <c r="J47" s="45"/>
      <c r="K47" s="44"/>
    </row>
    <row r="48" spans="2:11" x14ac:dyDescent="0.15">
      <c r="J48" s="45"/>
      <c r="K48" s="44"/>
    </row>
    <row r="49" spans="10:11" x14ac:dyDescent="0.15">
      <c r="J49" s="45"/>
      <c r="K49" s="44"/>
    </row>
    <row r="50" spans="10:11" x14ac:dyDescent="0.15">
      <c r="J50" s="45"/>
      <c r="K50" s="44"/>
    </row>
    <row r="51" spans="10:11" x14ac:dyDescent="0.15">
      <c r="J51" s="45"/>
      <c r="K51" s="44"/>
    </row>
    <row r="52" spans="10:11" x14ac:dyDescent="0.15">
      <c r="J52" s="45"/>
    </row>
    <row r="53" spans="10:11" x14ac:dyDescent="0.15">
      <c r="J53" s="44"/>
    </row>
  </sheetData>
  <sheetProtection algorithmName="SHA-512" hashValue="UCZpnVlmuHsgd9lhWzbSUFa7efCnZBw1otRSCgCCxOGVKy2L4ruoeawc/DzVhURKq5ob15IwIkPmHZUtr82JNA==" saltValue="42BtCKoY18QN3B3+dymmQg==" spinCount="100000" sheet="1" objects="1" scenarios="1" selectLockedCells="1"/>
  <mergeCells count="2">
    <mergeCell ref="K21:L24"/>
    <mergeCell ref="B8:C8"/>
  </mergeCells>
  <conditionalFormatting sqref="G11:I34">
    <cfRule type="cellIs" dxfId="25" priority="19" operator="equal">
      <formula>0</formula>
    </cfRule>
  </conditionalFormatting>
  <conditionalFormatting sqref="H11:H34">
    <cfRule type="cellIs" dxfId="24" priority="1" operator="between">
      <formula>2</formula>
      <formula>0.001</formula>
    </cfRule>
  </conditionalFormatting>
  <pageMargins left="0.7" right="0.7" top="0.75" bottom="0.75" header="0.3" footer="0.3"/>
  <pageSetup scale="35" orientation="portrait" horizontalDpi="90" verticalDpi="90" r:id="rId1"/>
  <headerFooter>
    <oddHeader>&amp;L&amp;G</oddHeader>
    <oddFooter>&amp;C2425 55th Street, Boulder, CO 80301 | archer-tech@idtdna.com
RA-DOC-064 / REV02
For research use only. Not for use in diagnostic procedures.</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1809B0-F7F6-5F4E-8965-7645A2F43747}">
  <sheetPr codeName="Sheet4">
    <pageSetUpPr fitToPage="1"/>
  </sheetPr>
  <dimension ref="B1:J65"/>
  <sheetViews>
    <sheetView view="pageLayout" topLeftCell="A88" zoomScaleNormal="100" workbookViewId="0">
      <selection activeCell="C10" sqref="C10"/>
    </sheetView>
  </sheetViews>
  <sheetFormatPr baseColWidth="10" defaultColWidth="10.83203125" defaultRowHeight="16" x14ac:dyDescent="0.2"/>
  <cols>
    <col min="1" max="1" width="1.5" style="46" customWidth="1"/>
    <col min="2" max="2" width="38.6640625" style="46" customWidth="1"/>
    <col min="3" max="3" width="13.83203125" style="48" customWidth="1"/>
    <col min="4" max="4" width="20.83203125" style="46" customWidth="1"/>
    <col min="5" max="5" width="12.6640625" style="49" customWidth="1"/>
    <col min="6" max="6" width="11.33203125" style="48" customWidth="1"/>
    <col min="7" max="7" width="15.5" style="50" customWidth="1"/>
    <col min="8" max="8" width="2.5" style="46" customWidth="1"/>
    <col min="9" max="9" width="48" style="46" customWidth="1"/>
    <col min="10" max="10" width="36.6640625" style="61" customWidth="1"/>
    <col min="11" max="11" width="4.5" style="46" customWidth="1"/>
    <col min="12" max="16384" width="10.83203125" style="46"/>
  </cols>
  <sheetData>
    <row r="1" spans="2:10" ht="34" customHeight="1" x14ac:dyDescent="0.2">
      <c r="B1" s="383" t="s">
        <v>61</v>
      </c>
      <c r="C1" s="383"/>
      <c r="D1" s="383"/>
      <c r="E1" s="383"/>
      <c r="F1" s="383"/>
      <c r="G1" s="383"/>
      <c r="H1" s="383"/>
      <c r="J1" s="46"/>
    </row>
    <row r="2" spans="2:10" ht="20" customHeight="1" x14ac:dyDescent="0.2">
      <c r="B2" s="47" t="s">
        <v>62</v>
      </c>
      <c r="J2" s="46"/>
    </row>
    <row r="3" spans="2:10" ht="20" customHeight="1" x14ac:dyDescent="0.2">
      <c r="B3" s="47" t="s">
        <v>174</v>
      </c>
      <c r="J3" s="46"/>
    </row>
    <row r="4" spans="2:10" ht="20" customHeight="1" x14ac:dyDescent="0.2">
      <c r="B4" s="47" t="s">
        <v>63</v>
      </c>
      <c r="J4" s="46"/>
    </row>
    <row r="5" spans="2:10" ht="20" customHeight="1" x14ac:dyDescent="0.2">
      <c r="B5" s="47" t="s">
        <v>64</v>
      </c>
      <c r="J5" s="46"/>
    </row>
    <row r="6" spans="2:10" ht="20" customHeight="1" x14ac:dyDescent="0.2">
      <c r="B6" s="47" t="s">
        <v>65</v>
      </c>
      <c r="J6" s="46"/>
    </row>
    <row r="7" spans="2:10" ht="20" customHeight="1" x14ac:dyDescent="0.2">
      <c r="B7" s="351" t="s">
        <v>66</v>
      </c>
      <c r="J7" s="46"/>
    </row>
    <row r="8" spans="2:10" ht="20" customHeight="1" x14ac:dyDescent="0.2">
      <c r="B8" s="351" t="s">
        <v>67</v>
      </c>
      <c r="J8" s="46"/>
    </row>
    <row r="9" spans="2:10" ht="17" thickBot="1" x14ac:dyDescent="0.25">
      <c r="B9" s="351"/>
      <c r="J9" s="46"/>
    </row>
    <row r="10" spans="2:10" s="238" customFormat="1" ht="17" customHeight="1" x14ac:dyDescent="0.15">
      <c r="B10" s="237" t="s">
        <v>68</v>
      </c>
      <c r="C10" s="303">
        <v>50</v>
      </c>
      <c r="D10" s="238" t="s">
        <v>69</v>
      </c>
      <c r="E10" s="239"/>
      <c r="F10" s="240"/>
      <c r="G10" s="241"/>
    </row>
    <row r="11" spans="2:10" s="238" customFormat="1" ht="17" customHeight="1" thickBot="1" x14ac:dyDescent="0.2">
      <c r="B11" s="242" t="s">
        <v>70</v>
      </c>
      <c r="C11" s="304">
        <v>5</v>
      </c>
      <c r="D11" s="243" t="s">
        <v>71</v>
      </c>
      <c r="E11" s="244"/>
      <c r="F11" s="245"/>
      <c r="G11" s="246"/>
      <c r="H11" s="243"/>
    </row>
    <row r="12" spans="2:10" ht="17" thickBot="1" x14ac:dyDescent="0.25">
      <c r="D12" s="51"/>
      <c r="E12" s="52"/>
      <c r="F12" s="53"/>
      <c r="G12" s="54"/>
      <c r="H12" s="51"/>
      <c r="J12" s="46"/>
    </row>
    <row r="13" spans="2:10" s="238" customFormat="1" ht="52" thickBot="1" x14ac:dyDescent="0.2">
      <c r="B13" s="55" t="s">
        <v>34</v>
      </c>
      <c r="C13" s="56" t="s">
        <v>72</v>
      </c>
      <c r="D13" s="35" t="s">
        <v>73</v>
      </c>
      <c r="E13" s="57" t="s">
        <v>74</v>
      </c>
      <c r="F13" s="56" t="s">
        <v>75</v>
      </c>
      <c r="G13" s="58" t="s">
        <v>76</v>
      </c>
      <c r="H13" s="247"/>
    </row>
    <row r="14" spans="2:10" s="238" customFormat="1" x14ac:dyDescent="0.15">
      <c r="B14" s="2">
        <f>'Library - Conc Calc'!C11</f>
        <v>0</v>
      </c>
      <c r="C14" s="297">
        <v>3.5</v>
      </c>
      <c r="D14" s="297">
        <v>10</v>
      </c>
      <c r="E14" s="118">
        <f>'Library - Conc Calc'!F11</f>
        <v>357</v>
      </c>
      <c r="F14" s="354">
        <f t="shared" ref="F14:F37" si="0">(C14/$I$18)*100</f>
        <v>15.909090909090908</v>
      </c>
      <c r="G14" s="59">
        <f t="shared" ref="G14:G37" si="1">IFERROR(($C$10/(D14/((C14/$I$18)*$C$11))),0)</f>
        <v>3.9772727272727266</v>
      </c>
      <c r="H14" s="248"/>
      <c r="I14" s="60" t="s">
        <v>77</v>
      </c>
      <c r="J14" s="355"/>
    </row>
    <row r="15" spans="2:10" s="238" customFormat="1" ht="17" thickBot="1" x14ac:dyDescent="0.2">
      <c r="B15" s="1">
        <f>'Library - Conc Calc'!C12</f>
        <v>0</v>
      </c>
      <c r="C15" s="298">
        <v>3.5</v>
      </c>
      <c r="D15" s="298">
        <v>10</v>
      </c>
      <c r="E15" s="119">
        <f>'Library - Conc Calc'!F12</f>
        <v>357</v>
      </c>
      <c r="F15" s="356">
        <f t="shared" si="0"/>
        <v>15.909090909090908</v>
      </c>
      <c r="G15" s="62">
        <f t="shared" si="1"/>
        <v>3.9772727272727266</v>
      </c>
      <c r="H15" s="248"/>
      <c r="I15" s="63">
        <f>C10-SUM(G14:G37)</f>
        <v>25</v>
      </c>
      <c r="J15" s="355"/>
    </row>
    <row r="16" spans="2:10" s="238" customFormat="1" ht="17" thickBot="1" x14ac:dyDescent="0.2">
      <c r="B16" s="1">
        <f>'Library - Conc Calc'!C13</f>
        <v>0</v>
      </c>
      <c r="C16" s="298">
        <v>3.5</v>
      </c>
      <c r="D16" s="298">
        <v>10</v>
      </c>
      <c r="E16" s="119">
        <f>'Library - Conc Calc'!F13</f>
        <v>357</v>
      </c>
      <c r="F16" s="356">
        <f t="shared" si="0"/>
        <v>15.909090909090908</v>
      </c>
      <c r="G16" s="62">
        <f t="shared" si="1"/>
        <v>3.9772727272727266</v>
      </c>
      <c r="H16" s="248"/>
      <c r="I16" s="64"/>
      <c r="J16" s="355"/>
    </row>
    <row r="17" spans="2:10" s="238" customFormat="1" x14ac:dyDescent="0.15">
      <c r="B17" s="1">
        <f>'Library - Conc Calc'!C14</f>
        <v>0</v>
      </c>
      <c r="C17" s="298">
        <v>3.5</v>
      </c>
      <c r="D17" s="298">
        <v>10</v>
      </c>
      <c r="E17" s="119">
        <f>'Library - Conc Calc'!F14</f>
        <v>357</v>
      </c>
      <c r="F17" s="356">
        <f t="shared" si="0"/>
        <v>15.909090909090908</v>
      </c>
      <c r="G17" s="62">
        <f t="shared" si="1"/>
        <v>3.9772727272727266</v>
      </c>
      <c r="H17" s="248"/>
      <c r="I17" s="65" t="s">
        <v>78</v>
      </c>
      <c r="J17" s="249"/>
    </row>
    <row r="18" spans="2:10" s="238" customFormat="1" ht="17" thickBot="1" x14ac:dyDescent="0.2">
      <c r="B18" s="1">
        <f>'Library - Conc Calc'!C15</f>
        <v>0</v>
      </c>
      <c r="C18" s="298">
        <v>2</v>
      </c>
      <c r="D18" s="298">
        <v>10</v>
      </c>
      <c r="E18" s="119">
        <f>'Library - Conc Calc'!F15</f>
        <v>357</v>
      </c>
      <c r="F18" s="356">
        <f t="shared" si="0"/>
        <v>9.0909090909090917</v>
      </c>
      <c r="G18" s="62">
        <f t="shared" si="1"/>
        <v>2.2727272727272729</v>
      </c>
      <c r="H18" s="248"/>
      <c r="I18" s="66">
        <f>SUM(C14:C37)</f>
        <v>22</v>
      </c>
      <c r="J18" s="250"/>
    </row>
    <row r="19" spans="2:10" s="238" customFormat="1" ht="17" thickBot="1" x14ac:dyDescent="0.2">
      <c r="B19" s="1">
        <f>'Library - Conc Calc'!C16</f>
        <v>0</v>
      </c>
      <c r="C19" s="298">
        <v>2</v>
      </c>
      <c r="D19" s="298">
        <v>10</v>
      </c>
      <c r="E19" s="119">
        <f>'Library - Conc Calc'!F16</f>
        <v>357</v>
      </c>
      <c r="F19" s="356">
        <f t="shared" si="0"/>
        <v>9.0909090909090917</v>
      </c>
      <c r="G19" s="62">
        <f t="shared" si="1"/>
        <v>2.2727272727272729</v>
      </c>
      <c r="H19" s="248"/>
      <c r="I19" s="64"/>
    </row>
    <row r="20" spans="2:10" s="238" customFormat="1" ht="16" customHeight="1" x14ac:dyDescent="0.15">
      <c r="B20" s="1">
        <f>'Library - Conc Calc'!C17</f>
        <v>0</v>
      </c>
      <c r="C20" s="298">
        <v>2</v>
      </c>
      <c r="D20" s="298">
        <v>10</v>
      </c>
      <c r="E20" s="119">
        <f>'Library - Conc Calc'!F17</f>
        <v>357</v>
      </c>
      <c r="F20" s="356">
        <f t="shared" si="0"/>
        <v>9.0909090909090917</v>
      </c>
      <c r="G20" s="62">
        <f t="shared" si="1"/>
        <v>2.2727272727272729</v>
      </c>
      <c r="H20" s="248"/>
      <c r="I20" s="235" t="s">
        <v>79</v>
      </c>
      <c r="J20" s="249"/>
    </row>
    <row r="21" spans="2:10" s="238" customFormat="1" ht="17" thickBot="1" x14ac:dyDescent="0.2">
      <c r="B21" s="3">
        <f>'Library - Conc Calc'!C18</f>
        <v>0</v>
      </c>
      <c r="C21" s="299">
        <v>2</v>
      </c>
      <c r="D21" s="299">
        <v>10</v>
      </c>
      <c r="E21" s="120">
        <f>'Library - Conc Calc'!F18</f>
        <v>357</v>
      </c>
      <c r="F21" s="357">
        <f t="shared" si="0"/>
        <v>9.0909090909090917</v>
      </c>
      <c r="G21" s="67">
        <f t="shared" si="1"/>
        <v>2.2727272727272729</v>
      </c>
      <c r="H21" s="248"/>
      <c r="I21" s="236">
        <f>SUM((E14*F14),(E15*F15),(E16*F16),(E17*F17),(E18*F18),(E19*F19),(E20*F20),(E21*F21),(E22*F22),(E23*F23),(E24*F24),(E25*F25),(E26*F26),(E27*F27),(E28*F28),(E29*F29),(E30*F30),(E31*F31),(E32*F32),(E33*F33),(E34*F34),(E35*F35),(E36*F36),(E37*F37))/100</f>
        <v>356.99999999999994</v>
      </c>
      <c r="J21" s="251"/>
    </row>
    <row r="22" spans="2:10" s="238" customFormat="1" x14ac:dyDescent="0.15">
      <c r="B22" s="2">
        <f>'Library - Conc Calc'!C19</f>
        <v>0</v>
      </c>
      <c r="C22" s="297"/>
      <c r="D22" s="297"/>
      <c r="E22" s="118">
        <f>'Library - Conc Calc'!F19</f>
        <v>0</v>
      </c>
      <c r="F22" s="354">
        <f t="shared" si="0"/>
        <v>0</v>
      </c>
      <c r="G22" s="59">
        <f t="shared" si="1"/>
        <v>0</v>
      </c>
      <c r="H22" s="248"/>
      <c r="I22" s="252" t="s">
        <v>80</v>
      </c>
    </row>
    <row r="23" spans="2:10" s="238" customFormat="1" x14ac:dyDescent="0.15">
      <c r="B23" s="1">
        <f>'Library - Conc Calc'!C20</f>
        <v>0</v>
      </c>
      <c r="C23" s="298"/>
      <c r="D23" s="298"/>
      <c r="E23" s="119">
        <f>'Library - Conc Calc'!F20</f>
        <v>0</v>
      </c>
      <c r="F23" s="356">
        <f t="shared" si="0"/>
        <v>0</v>
      </c>
      <c r="G23" s="62">
        <f t="shared" si="1"/>
        <v>0</v>
      </c>
      <c r="H23" s="248"/>
      <c r="J23" s="253"/>
    </row>
    <row r="24" spans="2:10" s="238" customFormat="1" x14ac:dyDescent="0.15">
      <c r="B24" s="1">
        <f>'Library - Conc Calc'!C21</f>
        <v>0</v>
      </c>
      <c r="C24" s="298"/>
      <c r="D24" s="298"/>
      <c r="E24" s="119">
        <f>'Library - Conc Calc'!F21</f>
        <v>0</v>
      </c>
      <c r="F24" s="356">
        <f t="shared" si="0"/>
        <v>0</v>
      </c>
      <c r="G24" s="62">
        <f t="shared" si="1"/>
        <v>0</v>
      </c>
      <c r="H24" s="248"/>
      <c r="J24" s="250"/>
    </row>
    <row r="25" spans="2:10" s="238" customFormat="1" ht="17" thickBot="1" x14ac:dyDescent="0.2">
      <c r="B25" s="1">
        <f>'Library - Conc Calc'!C22</f>
        <v>0</v>
      </c>
      <c r="C25" s="298"/>
      <c r="D25" s="298"/>
      <c r="E25" s="119">
        <f>'Library - Conc Calc'!F22</f>
        <v>0</v>
      </c>
      <c r="F25" s="356">
        <f t="shared" si="0"/>
        <v>0</v>
      </c>
      <c r="G25" s="62">
        <f t="shared" si="1"/>
        <v>0</v>
      </c>
      <c r="H25" s="248"/>
      <c r="I25" s="254" t="s">
        <v>81</v>
      </c>
      <c r="J25" s="255" t="s">
        <v>82</v>
      </c>
    </row>
    <row r="26" spans="2:10" s="238" customFormat="1" x14ac:dyDescent="0.15">
      <c r="B26" s="1">
        <f>'Library - Conc Calc'!C23</f>
        <v>0</v>
      </c>
      <c r="C26" s="298"/>
      <c r="D26" s="298"/>
      <c r="E26" s="119">
        <f>'Library - Conc Calc'!F23</f>
        <v>0</v>
      </c>
      <c r="F26" s="356">
        <f t="shared" si="0"/>
        <v>0</v>
      </c>
      <c r="G26" s="62">
        <f t="shared" si="1"/>
        <v>0</v>
      </c>
      <c r="H26" s="248"/>
      <c r="I26" s="256" t="s">
        <v>83</v>
      </c>
      <c r="J26" s="358">
        <f>130*0.8</f>
        <v>104</v>
      </c>
    </row>
    <row r="27" spans="2:10" s="238" customFormat="1" x14ac:dyDescent="0.15">
      <c r="B27" s="1">
        <f>'Library - Conc Calc'!C24</f>
        <v>0</v>
      </c>
      <c r="C27" s="298"/>
      <c r="D27" s="298"/>
      <c r="E27" s="119">
        <f>'Library - Conc Calc'!F24</f>
        <v>0</v>
      </c>
      <c r="F27" s="356">
        <f t="shared" si="0"/>
        <v>0</v>
      </c>
      <c r="G27" s="62">
        <f t="shared" si="1"/>
        <v>0</v>
      </c>
      <c r="H27" s="248"/>
      <c r="I27" s="256" t="s">
        <v>84</v>
      </c>
      <c r="J27" s="358">
        <f>400*0.8</f>
        <v>320</v>
      </c>
    </row>
    <row r="28" spans="2:10" s="238" customFormat="1" x14ac:dyDescent="0.15">
      <c r="B28" s="1">
        <f>'Library - Conc Calc'!C25</f>
        <v>0</v>
      </c>
      <c r="C28" s="298"/>
      <c r="D28" s="298"/>
      <c r="E28" s="119">
        <f>'Library - Conc Calc'!F25</f>
        <v>0</v>
      </c>
      <c r="F28" s="356">
        <f t="shared" si="0"/>
        <v>0</v>
      </c>
      <c r="G28" s="62">
        <f t="shared" si="1"/>
        <v>0</v>
      </c>
      <c r="H28" s="248"/>
      <c r="I28" s="256" t="s">
        <v>85</v>
      </c>
      <c r="J28" s="358">
        <f>15*0.95</f>
        <v>14.25</v>
      </c>
    </row>
    <row r="29" spans="2:10" s="238" customFormat="1" ht="17" thickBot="1" x14ac:dyDescent="0.2">
      <c r="B29" s="3">
        <f>'Library - Conc Calc'!C26</f>
        <v>0</v>
      </c>
      <c r="C29" s="299"/>
      <c r="D29" s="299"/>
      <c r="E29" s="120">
        <f>'Library - Conc Calc'!F26</f>
        <v>0</v>
      </c>
      <c r="F29" s="357">
        <f t="shared" si="0"/>
        <v>0</v>
      </c>
      <c r="G29" s="67">
        <f t="shared" si="1"/>
        <v>0</v>
      </c>
      <c r="H29" s="248"/>
      <c r="I29" s="257" t="s">
        <v>86</v>
      </c>
      <c r="J29" s="359">
        <f>25*0.95</f>
        <v>23.75</v>
      </c>
    </row>
    <row r="30" spans="2:10" s="238" customFormat="1" x14ac:dyDescent="0.15">
      <c r="B30" s="2">
        <f>'Library - Conc Calc'!C27</f>
        <v>0</v>
      </c>
      <c r="C30" s="297"/>
      <c r="D30" s="297"/>
      <c r="E30" s="118">
        <f>'Library - Conc Calc'!F27</f>
        <v>0</v>
      </c>
      <c r="F30" s="354">
        <f t="shared" si="0"/>
        <v>0</v>
      </c>
      <c r="G30" s="59">
        <f t="shared" si="1"/>
        <v>0</v>
      </c>
      <c r="H30" s="248"/>
      <c r="I30" s="238" t="s">
        <v>87</v>
      </c>
    </row>
    <row r="31" spans="2:10" s="238" customFormat="1" x14ac:dyDescent="0.15">
      <c r="B31" s="1">
        <f>'Library - Conc Calc'!C28</f>
        <v>0</v>
      </c>
      <c r="C31" s="298"/>
      <c r="D31" s="298"/>
      <c r="E31" s="119">
        <f>'Library - Conc Calc'!F28</f>
        <v>0</v>
      </c>
      <c r="F31" s="356">
        <f t="shared" si="0"/>
        <v>0</v>
      </c>
      <c r="G31" s="62">
        <f t="shared" si="1"/>
        <v>0</v>
      </c>
      <c r="H31" s="248"/>
      <c r="J31" s="250"/>
    </row>
    <row r="32" spans="2:10" s="238" customFormat="1" x14ac:dyDescent="0.15">
      <c r="B32" s="1">
        <f>'Library - Conc Calc'!C29</f>
        <v>0</v>
      </c>
      <c r="C32" s="298"/>
      <c r="D32" s="298"/>
      <c r="E32" s="119">
        <f>'Library - Conc Calc'!F29</f>
        <v>0</v>
      </c>
      <c r="F32" s="356">
        <f t="shared" si="0"/>
        <v>0</v>
      </c>
      <c r="G32" s="62">
        <f t="shared" si="1"/>
        <v>0</v>
      </c>
      <c r="H32" s="248"/>
      <c r="J32" s="250"/>
    </row>
    <row r="33" spans="2:10" s="238" customFormat="1" x14ac:dyDescent="0.15">
      <c r="B33" s="1">
        <f>'Library - Conc Calc'!C30</f>
        <v>0</v>
      </c>
      <c r="C33" s="298"/>
      <c r="D33" s="298"/>
      <c r="E33" s="119">
        <f>'Library - Conc Calc'!F30</f>
        <v>0</v>
      </c>
      <c r="F33" s="356">
        <f t="shared" si="0"/>
        <v>0</v>
      </c>
      <c r="G33" s="62">
        <f t="shared" si="1"/>
        <v>0</v>
      </c>
      <c r="H33" s="248"/>
      <c r="J33" s="250"/>
    </row>
    <row r="34" spans="2:10" s="238" customFormat="1" x14ac:dyDescent="0.15">
      <c r="B34" s="1">
        <f>'Library - Conc Calc'!C31</f>
        <v>0</v>
      </c>
      <c r="C34" s="298"/>
      <c r="D34" s="298"/>
      <c r="E34" s="119">
        <f>'Library - Conc Calc'!F31</f>
        <v>0</v>
      </c>
      <c r="F34" s="356">
        <f t="shared" si="0"/>
        <v>0</v>
      </c>
      <c r="G34" s="62">
        <f t="shared" si="1"/>
        <v>0</v>
      </c>
      <c r="H34" s="248"/>
      <c r="J34" s="250"/>
    </row>
    <row r="35" spans="2:10" s="238" customFormat="1" x14ac:dyDescent="0.15">
      <c r="B35" s="1">
        <f>'Library - Conc Calc'!C32</f>
        <v>0</v>
      </c>
      <c r="C35" s="298"/>
      <c r="D35" s="298"/>
      <c r="E35" s="119">
        <f>'Library - Conc Calc'!F32</f>
        <v>0</v>
      </c>
      <c r="F35" s="356">
        <f t="shared" si="0"/>
        <v>0</v>
      </c>
      <c r="G35" s="62">
        <f t="shared" si="1"/>
        <v>0</v>
      </c>
      <c r="H35" s="248"/>
      <c r="J35" s="250"/>
    </row>
    <row r="36" spans="2:10" s="238" customFormat="1" x14ac:dyDescent="0.15">
      <c r="B36" s="1">
        <f>'Library - Conc Calc'!C33</f>
        <v>0</v>
      </c>
      <c r="C36" s="298"/>
      <c r="D36" s="298"/>
      <c r="E36" s="119">
        <f>'Library - Conc Calc'!F33</f>
        <v>0</v>
      </c>
      <c r="F36" s="356">
        <f t="shared" si="0"/>
        <v>0</v>
      </c>
      <c r="G36" s="62">
        <f t="shared" si="1"/>
        <v>0</v>
      </c>
      <c r="H36" s="248"/>
      <c r="J36" s="250"/>
    </row>
    <row r="37" spans="2:10" s="238" customFormat="1" ht="17" thickBot="1" x14ac:dyDescent="0.2">
      <c r="B37" s="3">
        <f>'Library - Conc Calc'!C34</f>
        <v>0</v>
      </c>
      <c r="C37" s="299"/>
      <c r="D37" s="299"/>
      <c r="E37" s="120">
        <f>'Library - Conc Calc'!F34</f>
        <v>0</v>
      </c>
      <c r="F37" s="357">
        <f t="shared" si="0"/>
        <v>0</v>
      </c>
      <c r="G37" s="67">
        <f t="shared" si="1"/>
        <v>0</v>
      </c>
      <c r="H37" s="248"/>
      <c r="J37" s="250"/>
    </row>
    <row r="43" spans="2:10" x14ac:dyDescent="0.2">
      <c r="J43" s="68"/>
    </row>
    <row r="44" spans="2:10" ht="16" customHeight="1" x14ac:dyDescent="0.2">
      <c r="J44" s="69"/>
    </row>
    <row r="61" spans="8:8" x14ac:dyDescent="0.2">
      <c r="H61" s="384"/>
    </row>
    <row r="62" spans="8:8" x14ac:dyDescent="0.2">
      <c r="H62" s="384"/>
    </row>
    <row r="63" spans="8:8" x14ac:dyDescent="0.2">
      <c r="H63" s="384"/>
    </row>
    <row r="64" spans="8:8" x14ac:dyDescent="0.2">
      <c r="H64" s="384"/>
    </row>
    <row r="65" spans="8:8" x14ac:dyDescent="0.2">
      <c r="H65" s="384"/>
    </row>
  </sheetData>
  <sheetProtection algorithmName="SHA-512" hashValue="4928kJoCCKH+8vrOaYxVi0mJvaDLrESPkqstQZjM5VavbDvR49Dhepsq2FR91c9K6LgAE06cydCS8qgLPmmYJg==" saltValue="FAqAn08uiy4xVKXxuO9AzQ==" spinCount="100000" sheet="1" objects="1" scenarios="1" selectLockedCells="1"/>
  <mergeCells count="2">
    <mergeCell ref="B1:H1"/>
    <mergeCell ref="H61:H65"/>
  </mergeCells>
  <conditionalFormatting sqref="G14:H37">
    <cfRule type="cellIs" dxfId="23" priority="6" stopIfTrue="1" operator="equal">
      <formula>0</formula>
    </cfRule>
    <cfRule type="cellIs" dxfId="22" priority="7" operator="lessThan">
      <formula>2</formula>
    </cfRule>
  </conditionalFormatting>
  <conditionalFormatting sqref="I15 J18">
    <cfRule type="cellIs" dxfId="21" priority="5" operator="lessThan">
      <formula>0</formula>
    </cfRule>
  </conditionalFormatting>
  <pageMargins left="0.7" right="0.7" top="0.75" bottom="0.75" header="0.3" footer="0.3"/>
  <pageSetup scale="42" orientation="portrait" horizontalDpi="90" verticalDpi="90" r:id="rId1"/>
  <headerFooter>
    <oddHeader>&amp;L&amp;G</oddHeader>
    <oddFooter>&amp;C2425 55th Street, Boulder, CO 80301 | archer-tech@idtdna.com
RA-DOC-064 / REV02
For research use only. Not for use in diagnostic procedures.</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AFCEC2-83B7-9344-8C70-41DE6410C44B}">
  <sheetPr>
    <pageSetUpPr fitToPage="1"/>
  </sheetPr>
  <dimension ref="A1:K45"/>
  <sheetViews>
    <sheetView view="pageLayout" topLeftCell="A71" zoomScaleNormal="100" workbookViewId="0">
      <selection activeCell="D28" sqref="D28"/>
    </sheetView>
  </sheetViews>
  <sheetFormatPr baseColWidth="10" defaultColWidth="10.83203125" defaultRowHeight="13" x14ac:dyDescent="0.15"/>
  <cols>
    <col min="1" max="1" width="1.5" style="24" customWidth="1"/>
    <col min="2" max="2" width="15.83203125" style="24" customWidth="1"/>
    <col min="3" max="3" width="12.5" style="24" customWidth="1"/>
    <col min="4" max="4" width="13" style="24" customWidth="1"/>
    <col min="5" max="5" width="15.83203125" style="24" customWidth="1"/>
    <col min="6" max="6" width="15.1640625" style="108" customWidth="1"/>
    <col min="7" max="7" width="14.83203125" style="24" customWidth="1"/>
    <col min="8" max="8" width="14.1640625" style="24" customWidth="1"/>
    <col min="9" max="9" width="14.6640625" style="24" customWidth="1"/>
    <col min="10" max="10" width="15.1640625" style="24" customWidth="1"/>
    <col min="11" max="11" width="55" style="24" customWidth="1"/>
    <col min="12" max="13" width="10.83203125" style="24"/>
    <col min="14" max="14" width="11" style="24" customWidth="1"/>
    <col min="15" max="16384" width="10.83203125" style="24"/>
  </cols>
  <sheetData>
    <row r="1" spans="1:10" ht="34" customHeight="1" x14ac:dyDescent="0.2">
      <c r="B1" s="25" t="s">
        <v>88</v>
      </c>
      <c r="C1" s="25"/>
      <c r="D1" s="25"/>
      <c r="E1" s="25"/>
      <c r="F1" s="72"/>
      <c r="G1" s="25"/>
      <c r="H1" s="25"/>
      <c r="I1" s="25"/>
      <c r="J1" s="25"/>
    </row>
    <row r="2" spans="1:10" ht="20" customHeight="1" x14ac:dyDescent="0.2">
      <c r="B2" s="29" t="s">
        <v>1</v>
      </c>
      <c r="C2" s="25"/>
      <c r="D2" s="25"/>
      <c r="E2" s="25"/>
      <c r="F2" s="72"/>
      <c r="G2" s="25"/>
      <c r="H2" s="25"/>
      <c r="I2" s="25"/>
      <c r="J2" s="25"/>
    </row>
    <row r="3" spans="1:10" ht="20" customHeight="1" x14ac:dyDescent="0.2">
      <c r="B3" s="29" t="s">
        <v>89</v>
      </c>
      <c r="C3" s="25"/>
      <c r="D3" s="25"/>
      <c r="E3" s="25"/>
      <c r="F3" s="72"/>
      <c r="G3" s="25"/>
      <c r="H3" s="25"/>
      <c r="I3" s="25"/>
      <c r="J3" s="25"/>
    </row>
    <row r="4" spans="1:10" ht="20" customHeight="1" x14ac:dyDescent="0.2">
      <c r="B4" s="345" t="s">
        <v>3</v>
      </c>
      <c r="C4" s="25"/>
      <c r="D4" s="25"/>
      <c r="E4" s="25"/>
      <c r="F4" s="72"/>
      <c r="G4" s="25"/>
      <c r="H4" s="25"/>
      <c r="I4" s="25"/>
      <c r="J4" s="25"/>
    </row>
    <row r="5" spans="1:10" ht="20" customHeight="1" x14ac:dyDescent="0.2">
      <c r="B5" s="73" t="s">
        <v>4</v>
      </c>
      <c r="C5" s="25"/>
      <c r="D5" s="25"/>
      <c r="E5" s="25"/>
      <c r="F5" s="72"/>
      <c r="G5" s="25"/>
      <c r="H5" s="25"/>
      <c r="I5" s="25"/>
      <c r="J5" s="25"/>
    </row>
    <row r="6" spans="1:10" ht="20" customHeight="1" thickBot="1" x14ac:dyDescent="0.25">
      <c r="B6" s="73"/>
      <c r="C6" s="25"/>
      <c r="D6" s="25"/>
      <c r="E6" s="25"/>
      <c r="F6" s="72"/>
      <c r="G6" s="25"/>
      <c r="H6" s="25"/>
      <c r="I6" s="25"/>
      <c r="J6" s="25"/>
    </row>
    <row r="7" spans="1:10" s="40" customFormat="1" ht="22" customHeight="1" thickBot="1" x14ac:dyDescent="0.25">
      <c r="A7" s="24"/>
      <c r="B7" s="74" t="s">
        <v>5</v>
      </c>
      <c r="C7" s="74" t="s">
        <v>6</v>
      </c>
      <c r="D7" s="74" t="s">
        <v>7</v>
      </c>
      <c r="E7" s="74" t="s">
        <v>8</v>
      </c>
      <c r="F7" s="74" t="s">
        <v>9</v>
      </c>
      <c r="G7" s="35" t="s">
        <v>10</v>
      </c>
      <c r="H7" s="75" t="s">
        <v>11</v>
      </c>
    </row>
    <row r="8" spans="1:10" s="40" customFormat="1" ht="16" customHeight="1" x14ac:dyDescent="0.2">
      <c r="A8" s="24"/>
      <c r="B8" s="76" t="s">
        <v>12</v>
      </c>
      <c r="C8" s="11"/>
      <c r="D8" s="12"/>
      <c r="E8" s="325">
        <v>20</v>
      </c>
      <c r="F8" s="363" t="e">
        <f>AVERAGE(C8:C10)</f>
        <v>#DIV/0!</v>
      </c>
      <c r="G8" s="346" t="e">
        <f>C8-$F$8</f>
        <v>#DIV/0!</v>
      </c>
      <c r="H8" s="77" t="s">
        <v>13</v>
      </c>
    </row>
    <row r="9" spans="1:10" s="40" customFormat="1" ht="16" customHeight="1" x14ac:dyDescent="0.2">
      <c r="A9" s="24"/>
      <c r="B9" s="76" t="s">
        <v>12</v>
      </c>
      <c r="C9" s="13"/>
      <c r="D9" s="14"/>
      <c r="E9" s="326">
        <v>20</v>
      </c>
      <c r="F9" s="363"/>
      <c r="G9" s="346" t="e">
        <f>C9-$F$8</f>
        <v>#DIV/0!</v>
      </c>
      <c r="H9" s="79"/>
    </row>
    <row r="10" spans="1:10" ht="16" customHeight="1" thickBot="1" x14ac:dyDescent="0.25">
      <c r="B10" s="80" t="s">
        <v>12</v>
      </c>
      <c r="C10" s="15"/>
      <c r="D10" s="16"/>
      <c r="E10" s="327">
        <v>20</v>
      </c>
      <c r="F10" s="364"/>
      <c r="G10" s="347" t="e">
        <f>C10-$F$8</f>
        <v>#DIV/0!</v>
      </c>
      <c r="H10" s="361" t="e">
        <f>F11-F8</f>
        <v>#DIV/0!</v>
      </c>
    </row>
    <row r="11" spans="1:10" ht="16" x14ac:dyDescent="0.2">
      <c r="B11" s="76" t="s">
        <v>14</v>
      </c>
      <c r="C11" s="11"/>
      <c r="D11" s="17"/>
      <c r="E11" s="325">
        <v>2</v>
      </c>
      <c r="F11" s="365" t="e">
        <f>AVERAGE(C11:C13)</f>
        <v>#DIV/0!</v>
      </c>
      <c r="G11" s="346" t="e">
        <f>C11-$F$11</f>
        <v>#DIV/0!</v>
      </c>
      <c r="H11" s="361"/>
    </row>
    <row r="12" spans="1:10" ht="16" customHeight="1" x14ac:dyDescent="0.2">
      <c r="B12" s="78" t="s">
        <v>14</v>
      </c>
      <c r="C12" s="13"/>
      <c r="D12" s="14"/>
      <c r="E12" s="326">
        <v>2</v>
      </c>
      <c r="F12" s="363"/>
      <c r="G12" s="346" t="e">
        <f>C12-$F$11</f>
        <v>#DIV/0!</v>
      </c>
      <c r="H12" s="79"/>
    </row>
    <row r="13" spans="1:10" ht="17" thickBot="1" x14ac:dyDescent="0.25">
      <c r="B13" s="80" t="s">
        <v>14</v>
      </c>
      <c r="C13" s="15"/>
      <c r="D13" s="16"/>
      <c r="E13" s="327">
        <v>2</v>
      </c>
      <c r="F13" s="364"/>
      <c r="G13" s="347" t="e">
        <f>C13-$F$11</f>
        <v>#DIV/0!</v>
      </c>
      <c r="H13" s="361" t="e">
        <f>F14-F11</f>
        <v>#DIV/0!</v>
      </c>
    </row>
    <row r="14" spans="1:10" ht="16" x14ac:dyDescent="0.2">
      <c r="B14" s="76" t="s">
        <v>15</v>
      </c>
      <c r="C14" s="11"/>
      <c r="D14" s="17"/>
      <c r="E14" s="328">
        <v>0.2</v>
      </c>
      <c r="F14" s="365" t="e">
        <f>AVERAGE(C14:C16)</f>
        <v>#DIV/0!</v>
      </c>
      <c r="G14" s="346" t="e">
        <f>C14-$F$14</f>
        <v>#DIV/0!</v>
      </c>
      <c r="H14" s="362"/>
    </row>
    <row r="15" spans="1:10" ht="16" x14ac:dyDescent="0.2">
      <c r="B15" s="78" t="s">
        <v>15</v>
      </c>
      <c r="C15" s="13"/>
      <c r="D15" s="14"/>
      <c r="E15" s="329">
        <v>0.2</v>
      </c>
      <c r="F15" s="363"/>
      <c r="G15" s="346" t="e">
        <f>C15-$F$14</f>
        <v>#DIV/0!</v>
      </c>
      <c r="H15" s="81"/>
    </row>
    <row r="16" spans="1:10" ht="16" customHeight="1" thickBot="1" x14ac:dyDescent="0.25">
      <c r="B16" s="80" t="s">
        <v>15</v>
      </c>
      <c r="C16" s="15"/>
      <c r="D16" s="16"/>
      <c r="E16" s="330">
        <v>0.2</v>
      </c>
      <c r="F16" s="364"/>
      <c r="G16" s="347" t="e">
        <f>C16-$F$14</f>
        <v>#DIV/0!</v>
      </c>
      <c r="H16" s="361" t="e">
        <f>F17-F14</f>
        <v>#DIV/0!</v>
      </c>
    </row>
    <row r="17" spans="2:11" ht="16" x14ac:dyDescent="0.2">
      <c r="B17" s="76" t="s">
        <v>16</v>
      </c>
      <c r="C17" s="11"/>
      <c r="D17" s="12"/>
      <c r="E17" s="331">
        <v>0.02</v>
      </c>
      <c r="F17" s="365" t="e">
        <f>AVERAGE(C17:C19)</f>
        <v>#DIV/0!</v>
      </c>
      <c r="G17" s="346" t="e">
        <f>C17-$F$17</f>
        <v>#DIV/0!</v>
      </c>
      <c r="H17" s="362"/>
    </row>
    <row r="18" spans="2:11" ht="16" customHeight="1" x14ac:dyDescent="0.2">
      <c r="B18" s="78" t="s">
        <v>16</v>
      </c>
      <c r="C18" s="13"/>
      <c r="D18" s="14"/>
      <c r="E18" s="332">
        <v>0.02</v>
      </c>
      <c r="F18" s="363"/>
      <c r="G18" s="346" t="e">
        <f>C18-$F$17</f>
        <v>#DIV/0!</v>
      </c>
      <c r="H18" s="81"/>
    </row>
    <row r="19" spans="2:11" ht="17" thickBot="1" x14ac:dyDescent="0.25">
      <c r="B19" s="80" t="s">
        <v>16</v>
      </c>
      <c r="C19" s="15"/>
      <c r="D19" s="16"/>
      <c r="E19" s="333">
        <v>0.02</v>
      </c>
      <c r="F19" s="364"/>
      <c r="G19" s="347" t="e">
        <f>C19-$F$17</f>
        <v>#DIV/0!</v>
      </c>
      <c r="H19" s="361" t="e">
        <f>F20-F17</f>
        <v>#DIV/0!</v>
      </c>
    </row>
    <row r="20" spans="2:11" ht="16" x14ac:dyDescent="0.2">
      <c r="B20" s="76" t="s">
        <v>17</v>
      </c>
      <c r="C20" s="18"/>
      <c r="D20" s="17"/>
      <c r="E20" s="334">
        <v>2E-3</v>
      </c>
      <c r="F20" s="365" t="e">
        <f>AVERAGE(C20:C22)</f>
        <v>#DIV/0!</v>
      </c>
      <c r="G20" s="346" t="e">
        <f>C20-$F$20</f>
        <v>#DIV/0!</v>
      </c>
      <c r="H20" s="362"/>
    </row>
    <row r="21" spans="2:11" ht="16" x14ac:dyDescent="0.2">
      <c r="B21" s="78" t="s">
        <v>17</v>
      </c>
      <c r="C21" s="19"/>
      <c r="D21" s="14"/>
      <c r="E21" s="335">
        <v>2E-3</v>
      </c>
      <c r="F21" s="363"/>
      <c r="G21" s="346" t="e">
        <f>C21-$F$20</f>
        <v>#DIV/0!</v>
      </c>
      <c r="H21" s="81"/>
    </row>
    <row r="22" spans="2:11" ht="17" thickBot="1" x14ac:dyDescent="0.25">
      <c r="B22" s="80" t="s">
        <v>17</v>
      </c>
      <c r="C22" s="15"/>
      <c r="D22" s="16"/>
      <c r="E22" s="336">
        <v>2E-3</v>
      </c>
      <c r="F22" s="364"/>
      <c r="G22" s="347" t="e">
        <f>C22-$F$20</f>
        <v>#DIV/0!</v>
      </c>
      <c r="H22" s="361" t="e">
        <f>F23-F20</f>
        <v>#DIV/0!</v>
      </c>
    </row>
    <row r="23" spans="2:11" ht="16" x14ac:dyDescent="0.2">
      <c r="B23" s="76" t="s">
        <v>18</v>
      </c>
      <c r="C23" s="11"/>
      <c r="D23" s="17"/>
      <c r="E23" s="337">
        <v>2.0000000000000001E-4</v>
      </c>
      <c r="F23" s="365" t="e">
        <f>AVERAGE(C23:C25)</f>
        <v>#DIV/0!</v>
      </c>
      <c r="G23" s="346" t="e">
        <f>C23-$F$23</f>
        <v>#DIV/0!</v>
      </c>
      <c r="H23" s="362"/>
    </row>
    <row r="24" spans="2:11" ht="16" x14ac:dyDescent="0.2">
      <c r="B24" s="78" t="s">
        <v>18</v>
      </c>
      <c r="C24" s="13"/>
      <c r="D24" s="14"/>
      <c r="E24" s="338">
        <v>2.0000000000000001E-4</v>
      </c>
      <c r="F24" s="363"/>
      <c r="G24" s="346" t="e">
        <f>C24-$F$23</f>
        <v>#DIV/0!</v>
      </c>
      <c r="H24" s="79"/>
    </row>
    <row r="25" spans="2:11" ht="17" thickBot="1" x14ac:dyDescent="0.25">
      <c r="B25" s="80" t="s">
        <v>18</v>
      </c>
      <c r="C25" s="15"/>
      <c r="D25" s="16"/>
      <c r="E25" s="339">
        <v>2.0000000000000001E-4</v>
      </c>
      <c r="F25" s="364"/>
      <c r="G25" s="347" t="e">
        <f>C25-$F$23</f>
        <v>#DIV/0!</v>
      </c>
      <c r="H25" s="361" t="e">
        <f>F26-F23</f>
        <v>#DIV/0!</v>
      </c>
    </row>
    <row r="26" spans="2:11" ht="16" x14ac:dyDescent="0.2">
      <c r="B26" s="76" t="s">
        <v>19</v>
      </c>
      <c r="C26" s="11"/>
      <c r="D26" s="17"/>
      <c r="E26" s="340">
        <v>0</v>
      </c>
      <c r="F26" s="365" t="e">
        <f>AVERAGE(C26:C28)</f>
        <v>#DIV/0!</v>
      </c>
      <c r="G26" s="346" t="e">
        <f>C26-$F$26</f>
        <v>#DIV/0!</v>
      </c>
      <c r="H26" s="362"/>
    </row>
    <row r="27" spans="2:11" ht="16" x14ac:dyDescent="0.2">
      <c r="B27" s="78" t="s">
        <v>19</v>
      </c>
      <c r="C27" s="13"/>
      <c r="D27" s="14"/>
      <c r="E27" s="341">
        <v>0</v>
      </c>
      <c r="F27" s="363"/>
      <c r="G27" s="346" t="e">
        <f>C27-$F$26</f>
        <v>#DIV/0!</v>
      </c>
      <c r="H27" s="79"/>
    </row>
    <row r="28" spans="2:11" ht="17" thickBot="1" x14ac:dyDescent="0.25">
      <c r="B28" s="80" t="s">
        <v>19</v>
      </c>
      <c r="C28" s="15"/>
      <c r="D28" s="16"/>
      <c r="E28" s="342">
        <v>0</v>
      </c>
      <c r="F28" s="364"/>
      <c r="G28" s="348" t="e">
        <f>C28-$F$26</f>
        <v>#DIV/0!</v>
      </c>
      <c r="H28" s="82"/>
    </row>
    <row r="29" spans="2:11" ht="16" x14ac:dyDescent="0.2">
      <c r="B29" s="68"/>
      <c r="C29" s="4"/>
      <c r="D29" s="5"/>
      <c r="E29" s="83"/>
      <c r="F29" s="84"/>
      <c r="G29" s="5"/>
      <c r="H29" s="85"/>
      <c r="I29" s="85"/>
      <c r="J29" s="41"/>
      <c r="K29" s="86"/>
    </row>
    <row r="30" spans="2:11" ht="34" customHeight="1" thickBot="1" x14ac:dyDescent="0.25">
      <c r="B30" s="25" t="s">
        <v>20</v>
      </c>
      <c r="C30" s="4"/>
      <c r="D30" s="5"/>
      <c r="E30" s="83"/>
      <c r="F30" s="84"/>
      <c r="G30" s="5"/>
      <c r="H30" s="85"/>
      <c r="I30" s="85"/>
      <c r="J30" s="41"/>
      <c r="K30" s="86"/>
    </row>
    <row r="31" spans="2:11" ht="16" x14ac:dyDescent="0.2">
      <c r="B31" s="87"/>
      <c r="C31" s="88"/>
      <c r="D31" s="88"/>
      <c r="E31" s="89"/>
      <c r="F31" s="90"/>
      <c r="G31" s="91"/>
      <c r="H31" s="85"/>
      <c r="I31" s="85"/>
      <c r="J31" s="41"/>
      <c r="K31" s="86"/>
    </row>
    <row r="32" spans="2:11" ht="21" customHeight="1" x14ac:dyDescent="0.2">
      <c r="B32" s="92" t="s">
        <v>5</v>
      </c>
      <c r="C32" s="93" t="s">
        <v>8</v>
      </c>
      <c r="D32" s="93" t="s">
        <v>21</v>
      </c>
      <c r="E32" s="93" t="s">
        <v>9</v>
      </c>
      <c r="F32" s="93" t="s">
        <v>11</v>
      </c>
      <c r="G32" s="94"/>
      <c r="H32" s="85"/>
      <c r="I32" s="85"/>
      <c r="J32" s="41"/>
      <c r="K32" s="86"/>
    </row>
    <row r="33" spans="2:11" ht="16" x14ac:dyDescent="0.2">
      <c r="B33" s="95" t="s">
        <v>22</v>
      </c>
      <c r="C33" s="96">
        <f>E8</f>
        <v>20</v>
      </c>
      <c r="D33" s="343">
        <f>LOG(C33)</f>
        <v>1.3010299956639813</v>
      </c>
      <c r="E33" s="97" t="str">
        <f>IF(OR(ISNUMBER(C8),ISNUMBER(C9),ISNUMBER(C10)),AVERAGE(C8:C10),"")</f>
        <v/>
      </c>
      <c r="F33" s="98"/>
      <c r="G33" s="311"/>
      <c r="H33" s="310" t="e">
        <f t="shared" ref="H33:H38" si="0">IF(ISNUMBER(E33),E33,NA())</f>
        <v>#N/A</v>
      </c>
      <c r="I33" s="85"/>
      <c r="J33" s="41"/>
      <c r="K33" s="86"/>
    </row>
    <row r="34" spans="2:11" ht="16" x14ac:dyDescent="0.2">
      <c r="B34" s="95" t="s">
        <v>14</v>
      </c>
      <c r="C34" s="96">
        <f>E11</f>
        <v>2</v>
      </c>
      <c r="D34" s="343">
        <f>LOG(C34)</f>
        <v>0.3010299956639812</v>
      </c>
      <c r="E34" s="97" t="str">
        <f>IF(OR(ISNUMBER(C11),ISNUMBER(C12),ISNUMBER(C13)),AVERAGE(C11:C13),"")</f>
        <v/>
      </c>
      <c r="F34" s="99" t="e">
        <f>E34-E33</f>
        <v>#VALUE!</v>
      </c>
      <c r="G34" s="311"/>
      <c r="H34" s="310" t="e">
        <f t="shared" si="0"/>
        <v>#N/A</v>
      </c>
      <c r="I34" s="85"/>
      <c r="J34" s="41"/>
      <c r="K34" s="86"/>
    </row>
    <row r="35" spans="2:11" ht="16" x14ac:dyDescent="0.2">
      <c r="B35" s="95" t="s">
        <v>23</v>
      </c>
      <c r="C35" s="100">
        <f>E14</f>
        <v>0.2</v>
      </c>
      <c r="D35" s="343">
        <f>LOG(C35)</f>
        <v>-0.69897000433601875</v>
      </c>
      <c r="E35" s="97" t="str">
        <f>IF(OR(ISNUMBER(C14),ISNUMBER(C15),ISNUMBER(C16)),AVERAGE(C14:C16),"")</f>
        <v/>
      </c>
      <c r="F35" s="99" t="e">
        <f>E35-E34</f>
        <v>#VALUE!</v>
      </c>
      <c r="G35" s="311"/>
      <c r="H35" s="310" t="e">
        <f t="shared" si="0"/>
        <v>#N/A</v>
      </c>
      <c r="I35" s="85"/>
      <c r="J35" s="41"/>
      <c r="K35" s="86"/>
    </row>
    <row r="36" spans="2:11" ht="16" x14ac:dyDescent="0.2">
      <c r="B36" s="95" t="s">
        <v>16</v>
      </c>
      <c r="C36" s="101">
        <f>E17</f>
        <v>0.02</v>
      </c>
      <c r="D36" s="343">
        <f t="shared" ref="D36:D38" si="1">LOG(C36)</f>
        <v>-1.6989700043360187</v>
      </c>
      <c r="E36" s="97" t="str">
        <f>IF(OR(ISNUMBER(C17),ISNUMBER(C18),ISNUMBER(C19)),AVERAGE(C17:C19),"")</f>
        <v/>
      </c>
      <c r="F36" s="99" t="e">
        <f>E36-E35</f>
        <v>#VALUE!</v>
      </c>
      <c r="G36" s="311"/>
      <c r="H36" s="310" t="e">
        <f t="shared" si="0"/>
        <v>#N/A</v>
      </c>
      <c r="I36" s="85"/>
      <c r="J36" s="41"/>
      <c r="K36" s="86"/>
    </row>
    <row r="37" spans="2:11" ht="16" x14ac:dyDescent="0.2">
      <c r="B37" s="95" t="s">
        <v>17</v>
      </c>
      <c r="C37" s="102">
        <f>E20</f>
        <v>2E-3</v>
      </c>
      <c r="D37" s="343">
        <f t="shared" si="1"/>
        <v>-2.6989700043360187</v>
      </c>
      <c r="E37" s="97" t="str">
        <f>IF(OR(ISNUMBER(C20),ISNUMBER(C21),ISNUMBER(C22)),AVERAGE(C20:C22),"")</f>
        <v/>
      </c>
      <c r="F37" s="99" t="e">
        <f>E37-E36</f>
        <v>#VALUE!</v>
      </c>
      <c r="G37" s="311"/>
      <c r="H37" s="310" t="e">
        <f t="shared" si="0"/>
        <v>#N/A</v>
      </c>
      <c r="I37" s="85"/>
      <c r="J37" s="41"/>
      <c r="K37" s="86"/>
    </row>
    <row r="38" spans="2:11" ht="16" x14ac:dyDescent="0.2">
      <c r="B38" s="95" t="s">
        <v>18</v>
      </c>
      <c r="C38" s="103">
        <f>E23</f>
        <v>2.0000000000000001E-4</v>
      </c>
      <c r="D38" s="343">
        <f t="shared" si="1"/>
        <v>-3.6989700043360187</v>
      </c>
      <c r="E38" s="97" t="str">
        <f>IF(OR(ISNUMBER(C23),ISNUMBER(C24),ISNUMBER(C25)),AVERAGE(C23:C25),"")</f>
        <v/>
      </c>
      <c r="F38" s="99" t="e">
        <f>E38-E37</f>
        <v>#VALUE!</v>
      </c>
      <c r="G38" s="311"/>
      <c r="H38" s="310" t="e">
        <f t="shared" si="0"/>
        <v>#N/A</v>
      </c>
      <c r="I38" s="85"/>
      <c r="J38" s="41"/>
      <c r="K38" s="86"/>
    </row>
    <row r="39" spans="2:11" ht="16" x14ac:dyDescent="0.2">
      <c r="B39" s="321"/>
      <c r="C39" s="322"/>
      <c r="D39" s="344"/>
      <c r="E39" s="315"/>
      <c r="F39" s="316"/>
      <c r="G39" s="311"/>
      <c r="H39" s="310"/>
      <c r="I39" s="85"/>
      <c r="J39" s="41"/>
      <c r="K39" s="86"/>
    </row>
    <row r="40" spans="2:11" ht="16" x14ac:dyDescent="0.2">
      <c r="B40" s="349" t="s">
        <v>24</v>
      </c>
      <c r="C40" s="312" t="e" cm="1">
        <f t="array" ref="C40">POWER(10, 1/(-SLOPE(E33:E38, LOG(C33:C38))))-1</f>
        <v>#DIV/0!</v>
      </c>
      <c r="D40" s="47" t="s">
        <v>25</v>
      </c>
      <c r="F40" s="46"/>
      <c r="G40" s="104"/>
      <c r="H40" s="85"/>
      <c r="I40" s="85"/>
      <c r="J40" s="41"/>
      <c r="K40" s="86"/>
    </row>
    <row r="41" spans="2:11" ht="16" x14ac:dyDescent="0.2">
      <c r="B41" s="350" t="s">
        <v>26</v>
      </c>
      <c r="C41" s="105" t="e" cm="1">
        <f t="array" ref="C41">SLOPE(E33:E38, LOG(C33:C38))</f>
        <v>#DIV/0!</v>
      </c>
      <c r="D41" s="106"/>
      <c r="F41" s="46"/>
      <c r="G41" s="104"/>
      <c r="H41" s="85"/>
      <c r="I41" s="85"/>
      <c r="J41" s="41"/>
      <c r="K41" s="86"/>
    </row>
    <row r="42" spans="2:11" ht="16" x14ac:dyDescent="0.2">
      <c r="B42" s="350" t="s">
        <v>27</v>
      </c>
      <c r="C42" s="313" t="e" cm="1">
        <f t="array" ref="C42">RSQ(E33:E38, -LOG(C33:C38))</f>
        <v>#DIV/0!</v>
      </c>
      <c r="D42" s="47" t="s">
        <v>28</v>
      </c>
      <c r="F42" s="46"/>
      <c r="G42" s="104"/>
      <c r="H42" s="85"/>
      <c r="I42" s="85"/>
      <c r="J42" s="41"/>
      <c r="K42" s="86"/>
    </row>
    <row r="43" spans="2:11" ht="16" x14ac:dyDescent="0.2">
      <c r="B43" s="350" t="s">
        <v>29</v>
      </c>
      <c r="C43" s="314" t="e">
        <f>INTERCEPT(E33:E38,D33:D38)</f>
        <v>#DIV/0!</v>
      </c>
      <c r="D43" s="107"/>
      <c r="E43" s="106"/>
      <c r="F43" s="46"/>
      <c r="G43" s="104"/>
      <c r="H43" s="85"/>
      <c r="I43" s="85"/>
      <c r="J43" s="41"/>
      <c r="K43" s="86"/>
    </row>
    <row r="44" spans="2:11" ht="17" thickBot="1" x14ac:dyDescent="0.25">
      <c r="B44" s="360"/>
      <c r="C44" s="323"/>
      <c r="D44" s="324"/>
      <c r="E44" s="319"/>
      <c r="F44" s="318"/>
      <c r="G44" s="320"/>
      <c r="H44" s="85"/>
      <c r="I44" s="85"/>
      <c r="J44" s="41"/>
      <c r="K44" s="86"/>
    </row>
    <row r="45" spans="2:11" ht="16" x14ac:dyDescent="0.2">
      <c r="B45" s="68"/>
      <c r="C45" s="4"/>
      <c r="D45" s="5"/>
      <c r="E45" s="83"/>
      <c r="F45" s="84"/>
      <c r="G45" s="5"/>
      <c r="H45" s="85"/>
      <c r="I45" s="85"/>
      <c r="J45" s="41"/>
      <c r="K45" s="86"/>
    </row>
  </sheetData>
  <sheetProtection algorithmName="SHA-512" hashValue="bGxxiDE1FVGnkJ/OgEBzrS6ofbVvGP05LcYWWLSuLqAsVgqnodyLedMsGC9bkIfoofEWsWm8b6ut6gWWsaEUMw==" saltValue="EkPC6B26UknfeEW1j5JCwg==" spinCount="100000" sheet="1" objects="1" scenarios="1" selectLockedCells="1"/>
  <mergeCells count="13">
    <mergeCell ref="F8:F10"/>
    <mergeCell ref="H10:H11"/>
    <mergeCell ref="F11:F13"/>
    <mergeCell ref="H13:H14"/>
    <mergeCell ref="F14:F16"/>
    <mergeCell ref="H16:H17"/>
    <mergeCell ref="F17:F19"/>
    <mergeCell ref="H19:H20"/>
    <mergeCell ref="F20:F22"/>
    <mergeCell ref="H22:H23"/>
    <mergeCell ref="F23:F25"/>
    <mergeCell ref="H25:H26"/>
    <mergeCell ref="F26:F28"/>
  </mergeCells>
  <conditionalFormatting sqref="F34:F38">
    <cfRule type="cellIs" dxfId="20" priority="1" stopIfTrue="1" operator="notBetween">
      <formula>3.1</formula>
      <formula>3.6</formula>
    </cfRule>
  </conditionalFormatting>
  <conditionalFormatting sqref="G29:G30 G45">
    <cfRule type="cellIs" dxfId="19" priority="8" operator="equal">
      <formula>0</formula>
    </cfRule>
  </conditionalFormatting>
  <conditionalFormatting sqref="H10 H13:H14 H16:H17 H19:H20">
    <cfRule type="cellIs" dxfId="18" priority="6" stopIfTrue="1" operator="notBetween">
      <formula>3.1</formula>
      <formula>3.6</formula>
    </cfRule>
  </conditionalFormatting>
  <conditionalFormatting sqref="H22:H23">
    <cfRule type="cellIs" dxfId="17" priority="5" stopIfTrue="1" operator="notBetween">
      <formula>3.1</formula>
      <formula>3.6</formula>
    </cfRule>
  </conditionalFormatting>
  <conditionalFormatting sqref="H29:I45">
    <cfRule type="cellIs" dxfId="16" priority="2" stopIfTrue="1" operator="equal">
      <formula>-3</formula>
    </cfRule>
    <cfRule type="cellIs" dxfId="15" priority="3" operator="lessThan">
      <formula>0</formula>
    </cfRule>
  </conditionalFormatting>
  <dataValidations disablePrompts="1" count="1">
    <dataValidation type="list" allowBlank="1" showInputMessage="1" showErrorMessage="1" sqref="F29:F31 F45" xr:uid="{2B7144C6-3070-F349-B032-017795A4A5FF}">
      <formula1>$D$8:$D$12</formula1>
    </dataValidation>
  </dataValidations>
  <pageMargins left="0.7" right="0.7" top="0.75" bottom="0.75" header="0.3" footer="0.3"/>
  <pageSetup scale="45" orientation="portrait" horizontalDpi="90" verticalDpi="90" r:id="rId1"/>
  <headerFooter>
    <oddHeader>&amp;L&amp;G</oddHeader>
    <oddFooter>&amp;C2425 55th Street, Boulder, CO 80301 | archer-tech@idtdna.com
RA-DOC-064 / REV02
For research use only. Not for use in diagnostic procedures.</oddFooter>
  </headerFooter>
  <drawing r:id="rId2"/>
  <legacyDrawingHF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1140D7-1142-B643-AF09-8E3C0A56EDE8}">
  <sheetPr>
    <pageSetUpPr fitToPage="1"/>
  </sheetPr>
  <dimension ref="A1:BG19"/>
  <sheetViews>
    <sheetView view="pageLayout" topLeftCell="A66" zoomScaleNormal="100" workbookViewId="0">
      <selection activeCell="B8" sqref="B8:B10"/>
    </sheetView>
  </sheetViews>
  <sheetFormatPr baseColWidth="10" defaultColWidth="11.5" defaultRowHeight="13" x14ac:dyDescent="0.15"/>
  <cols>
    <col min="1" max="1" width="1.5" customWidth="1"/>
    <col min="2" max="2" width="19.6640625" customWidth="1"/>
    <col min="3" max="4" width="12.83203125" customWidth="1"/>
    <col min="5" max="5" width="13.83203125" customWidth="1"/>
    <col min="6" max="6" width="12.83203125" customWidth="1"/>
    <col min="7" max="7" width="11.5" customWidth="1"/>
    <col min="8" max="8" width="30.83203125" customWidth="1"/>
    <col min="10" max="10" width="22.6640625" customWidth="1"/>
    <col min="11" max="11" width="23.5" customWidth="1"/>
  </cols>
  <sheetData>
    <row r="1" spans="1:59" s="24" customFormat="1" ht="34" customHeight="1" x14ac:dyDescent="0.2">
      <c r="B1" s="30" t="s">
        <v>90</v>
      </c>
      <c r="C1" s="25"/>
      <c r="D1" s="25"/>
      <c r="E1" s="25"/>
      <c r="F1" s="72"/>
      <c r="G1" s="25"/>
      <c r="H1" s="25"/>
      <c r="I1" s="25"/>
      <c r="J1" s="25"/>
    </row>
    <row r="2" spans="1:59" s="24" customFormat="1" ht="20" customHeight="1" x14ac:dyDescent="0.2">
      <c r="B2" s="29" t="s">
        <v>91</v>
      </c>
      <c r="C2" s="25"/>
      <c r="D2" s="25"/>
      <c r="E2" s="25"/>
      <c r="F2" s="72"/>
      <c r="G2" s="25"/>
      <c r="H2" s="25"/>
      <c r="I2" s="25"/>
      <c r="J2" s="25"/>
    </row>
    <row r="3" spans="1:59" s="24" customFormat="1" ht="20" customHeight="1" x14ac:dyDescent="0.2">
      <c r="B3" s="109" t="s">
        <v>32</v>
      </c>
      <c r="C3" s="25"/>
      <c r="D3" s="25"/>
      <c r="E3" s="25"/>
      <c r="F3" s="72"/>
      <c r="G3" s="25"/>
      <c r="H3" s="25"/>
      <c r="I3" s="25"/>
      <c r="J3" s="25"/>
    </row>
    <row r="4" spans="1:59" s="24" customFormat="1" ht="20" customHeight="1" x14ac:dyDescent="0.2">
      <c r="B4" s="107" t="s">
        <v>33</v>
      </c>
      <c r="C4" s="25"/>
      <c r="D4" s="25"/>
      <c r="E4" s="25"/>
      <c r="F4" s="72"/>
      <c r="G4" s="25"/>
      <c r="H4" s="25"/>
      <c r="I4" s="25"/>
      <c r="J4" s="25"/>
    </row>
    <row r="5" spans="1:59" s="24" customFormat="1" ht="20" customHeight="1" x14ac:dyDescent="0.2">
      <c r="B5" s="46" t="s">
        <v>92</v>
      </c>
      <c r="C5" s="25"/>
      <c r="D5" s="25"/>
      <c r="E5" s="25"/>
      <c r="F5" s="72"/>
      <c r="G5" s="25"/>
      <c r="H5" s="25"/>
      <c r="I5" s="25"/>
      <c r="J5" s="25"/>
    </row>
    <row r="6" spans="1:59" s="24" customFormat="1" ht="20" customHeight="1" thickBot="1" x14ac:dyDescent="0.25">
      <c r="B6" s="345"/>
      <c r="C6" s="25"/>
      <c r="D6" s="25"/>
      <c r="E6" s="25"/>
      <c r="F6" s="72"/>
      <c r="G6" s="25"/>
      <c r="H6" s="25"/>
      <c r="I6" s="25"/>
      <c r="J6" s="25"/>
    </row>
    <row r="7" spans="1:59" s="110" customFormat="1" ht="57" customHeight="1" x14ac:dyDescent="0.2">
      <c r="B7" s="305" t="s">
        <v>93</v>
      </c>
      <c r="C7" s="306" t="s">
        <v>6</v>
      </c>
      <c r="D7" s="306" t="s">
        <v>7</v>
      </c>
      <c r="E7" s="306" t="s">
        <v>9</v>
      </c>
      <c r="F7" s="306" t="s">
        <v>10</v>
      </c>
      <c r="G7" s="306" t="s">
        <v>35</v>
      </c>
      <c r="H7" s="306" t="s">
        <v>94</v>
      </c>
      <c r="I7" s="307" t="s">
        <v>46</v>
      </c>
      <c r="J7" s="308" t="s">
        <v>47</v>
      </c>
      <c r="K7" s="309" t="s">
        <v>95</v>
      </c>
    </row>
    <row r="8" spans="1:59" s="110" customFormat="1" ht="16" x14ac:dyDescent="0.2">
      <c r="B8" s="378"/>
      <c r="C8" s="11"/>
      <c r="D8" s="20"/>
      <c r="E8" s="379" t="e">
        <f>AVERAGE(C8:C10)</f>
        <v>#DIV/0!</v>
      </c>
      <c r="F8" s="302" t="e">
        <f>C8-$E$8</f>
        <v>#DIV/0!</v>
      </c>
      <c r="G8" s="375" t="e">
        <f>(E8-'Pool - Standard Curve'!$C$43)/'Pool - Standard Curve'!$C$41</f>
        <v>#DIV/0!</v>
      </c>
      <c r="H8" s="395" t="e">
        <f>10^G8</f>
        <v>#DIV/0!</v>
      </c>
      <c r="I8" s="396"/>
      <c r="J8" s="387"/>
      <c r="K8" s="390" t="e">
        <f>H8*(I8/1000)*(452/J8)</f>
        <v>#DIV/0!</v>
      </c>
    </row>
    <row r="9" spans="1:59" s="110" customFormat="1" ht="16" x14ac:dyDescent="0.2">
      <c r="B9" s="366"/>
      <c r="C9" s="13"/>
      <c r="D9" s="21"/>
      <c r="E9" s="368"/>
      <c r="F9" s="300" t="e">
        <f>C9-$E$8</f>
        <v>#DIV/0!</v>
      </c>
      <c r="G9" s="370"/>
      <c r="H9" s="393"/>
      <c r="I9" s="385"/>
      <c r="J9" s="388"/>
      <c r="K9" s="391"/>
    </row>
    <row r="10" spans="1:59" s="112" customFormat="1" ht="17" thickBot="1" x14ac:dyDescent="0.25">
      <c r="A10" s="110"/>
      <c r="B10" s="366"/>
      <c r="C10" s="13"/>
      <c r="D10" s="21"/>
      <c r="E10" s="368"/>
      <c r="F10" s="300" t="e">
        <f>C10-$E$8</f>
        <v>#DIV/0!</v>
      </c>
      <c r="G10" s="370"/>
      <c r="H10" s="393"/>
      <c r="I10" s="385"/>
      <c r="J10" s="388"/>
      <c r="K10" s="391"/>
      <c r="L10" s="110"/>
      <c r="M10" s="110"/>
      <c r="N10" s="110"/>
      <c r="O10" s="110"/>
      <c r="P10" s="110"/>
      <c r="Q10" s="110"/>
      <c r="R10" s="110"/>
      <c r="S10" s="110"/>
      <c r="T10" s="110"/>
      <c r="U10" s="110"/>
      <c r="V10" s="110"/>
      <c r="W10" s="110"/>
      <c r="X10" s="110"/>
      <c r="Y10" s="110"/>
      <c r="Z10" s="110"/>
      <c r="AA10" s="110"/>
      <c r="AB10" s="110"/>
      <c r="AC10" s="110"/>
      <c r="AD10" s="110"/>
      <c r="AE10" s="110"/>
      <c r="AF10" s="110"/>
      <c r="AG10" s="110"/>
      <c r="AH10" s="110"/>
      <c r="AI10" s="110"/>
      <c r="AJ10" s="110"/>
      <c r="AK10" s="110"/>
      <c r="AL10" s="110"/>
      <c r="AM10" s="110"/>
      <c r="AN10" s="110"/>
      <c r="AO10" s="110"/>
      <c r="AP10" s="110"/>
      <c r="AQ10" s="110"/>
      <c r="AR10" s="110"/>
      <c r="AS10" s="110"/>
      <c r="AT10" s="110"/>
      <c r="AU10" s="110"/>
      <c r="AV10" s="110"/>
      <c r="AW10" s="110"/>
      <c r="AX10" s="110"/>
      <c r="AY10" s="110"/>
      <c r="AZ10" s="110"/>
      <c r="BA10" s="110"/>
      <c r="BB10" s="110"/>
      <c r="BC10" s="110"/>
      <c r="BD10" s="110"/>
      <c r="BE10" s="110"/>
      <c r="BF10" s="110"/>
      <c r="BG10" s="110"/>
    </row>
    <row r="11" spans="1:59" s="110" customFormat="1" ht="16" x14ac:dyDescent="0.2">
      <c r="B11" s="366"/>
      <c r="C11" s="13"/>
      <c r="D11" s="21"/>
      <c r="E11" s="368" t="e">
        <f>AVERAGE(C11:C13)</f>
        <v>#DIV/0!</v>
      </c>
      <c r="F11" s="300" t="e">
        <f>C11-$E$11</f>
        <v>#DIV/0!</v>
      </c>
      <c r="G11" s="375" t="e">
        <f>(E11-'Pool - Standard Curve'!$C$43)/'Pool - Standard Curve'!$C$41</f>
        <v>#DIV/0!</v>
      </c>
      <c r="H11" s="393" t="e">
        <f>10^G11</f>
        <v>#DIV/0!</v>
      </c>
      <c r="I11" s="385"/>
      <c r="J11" s="388"/>
      <c r="K11" s="391" t="e">
        <f>H11*(I11/1000)*(452/J11)</f>
        <v>#DIV/0!</v>
      </c>
    </row>
    <row r="12" spans="1:59" s="110" customFormat="1" ht="16" x14ac:dyDescent="0.2">
      <c r="B12" s="366"/>
      <c r="C12" s="13"/>
      <c r="D12" s="21"/>
      <c r="E12" s="368"/>
      <c r="F12" s="300" t="e">
        <f>C12-$E$11</f>
        <v>#DIV/0!</v>
      </c>
      <c r="G12" s="370"/>
      <c r="H12" s="393"/>
      <c r="I12" s="385"/>
      <c r="J12" s="388"/>
      <c r="K12" s="391"/>
    </row>
    <row r="13" spans="1:59" s="112" customFormat="1" ht="17" thickBot="1" x14ac:dyDescent="0.25">
      <c r="A13" s="110"/>
      <c r="B13" s="366"/>
      <c r="C13" s="13"/>
      <c r="D13" s="21"/>
      <c r="E13" s="368"/>
      <c r="F13" s="300" t="e">
        <f>C13-$E$11</f>
        <v>#DIV/0!</v>
      </c>
      <c r="G13" s="370"/>
      <c r="H13" s="393"/>
      <c r="I13" s="385"/>
      <c r="J13" s="388"/>
      <c r="K13" s="391"/>
      <c r="L13" s="110"/>
      <c r="M13" s="110"/>
      <c r="N13" s="110"/>
      <c r="O13" s="110"/>
      <c r="P13" s="110"/>
      <c r="Q13" s="110"/>
      <c r="R13" s="110"/>
      <c r="S13" s="110"/>
      <c r="T13" s="110"/>
      <c r="U13" s="110"/>
      <c r="V13" s="110"/>
      <c r="W13" s="110"/>
      <c r="X13" s="110"/>
      <c r="Y13" s="110"/>
      <c r="Z13" s="110"/>
      <c r="AA13" s="110"/>
      <c r="AB13" s="110"/>
      <c r="AC13" s="110"/>
      <c r="AD13" s="110"/>
      <c r="AE13" s="110"/>
      <c r="AF13" s="110"/>
      <c r="AG13" s="110"/>
      <c r="AH13" s="110"/>
      <c r="AI13" s="110"/>
      <c r="AJ13" s="110"/>
      <c r="AK13" s="110"/>
      <c r="AL13" s="110"/>
      <c r="AM13" s="110"/>
      <c r="AN13" s="110"/>
      <c r="AO13" s="110"/>
      <c r="AP13" s="110"/>
      <c r="AQ13" s="110"/>
      <c r="AR13" s="110"/>
      <c r="AS13" s="110"/>
      <c r="AT13" s="110"/>
      <c r="AU13" s="110"/>
      <c r="AV13" s="110"/>
      <c r="AW13" s="110"/>
      <c r="AX13" s="110"/>
      <c r="AY13" s="110"/>
      <c r="AZ13" s="110"/>
      <c r="BA13" s="110"/>
      <c r="BB13" s="110"/>
      <c r="BC13" s="110"/>
      <c r="BD13" s="110"/>
      <c r="BE13" s="110"/>
      <c r="BF13" s="110"/>
      <c r="BG13" s="110"/>
    </row>
    <row r="14" spans="1:59" s="110" customFormat="1" ht="16" x14ac:dyDescent="0.2">
      <c r="B14" s="366"/>
      <c r="C14" s="13"/>
      <c r="D14" s="21"/>
      <c r="E14" s="368" t="e">
        <f>AVERAGE(C14:C16)</f>
        <v>#DIV/0!</v>
      </c>
      <c r="F14" s="300" t="e">
        <f>C14-$E$14</f>
        <v>#DIV/0!</v>
      </c>
      <c r="G14" s="370" t="e">
        <f>(E14-'Pool - Standard Curve'!$C$43)/'Pool - Standard Curve'!$C$41</f>
        <v>#DIV/0!</v>
      </c>
      <c r="H14" s="393" t="e">
        <f>10^G14</f>
        <v>#DIV/0!</v>
      </c>
      <c r="I14" s="385"/>
      <c r="J14" s="388"/>
      <c r="K14" s="391" t="e">
        <f>H14*(I14/1000)*(452/J14)</f>
        <v>#DIV/0!</v>
      </c>
    </row>
    <row r="15" spans="1:59" s="110" customFormat="1" ht="16" x14ac:dyDescent="0.2">
      <c r="B15" s="366"/>
      <c r="C15" s="13"/>
      <c r="D15" s="21"/>
      <c r="E15" s="368"/>
      <c r="F15" s="300" t="e">
        <f>C15-$E$14</f>
        <v>#DIV/0!</v>
      </c>
      <c r="G15" s="370"/>
      <c r="H15" s="393"/>
      <c r="I15" s="385"/>
      <c r="J15" s="388"/>
      <c r="K15" s="391"/>
    </row>
    <row r="16" spans="1:59" s="112" customFormat="1" ht="17" thickBot="1" x14ac:dyDescent="0.25">
      <c r="A16" s="110"/>
      <c r="B16" s="367"/>
      <c r="C16" s="15"/>
      <c r="D16" s="23"/>
      <c r="E16" s="369"/>
      <c r="F16" s="301" t="e">
        <f>C16-$E$14</f>
        <v>#DIV/0!</v>
      </c>
      <c r="G16" s="371"/>
      <c r="H16" s="394"/>
      <c r="I16" s="386"/>
      <c r="J16" s="389"/>
      <c r="K16" s="392"/>
      <c r="L16" s="110"/>
      <c r="M16" s="110"/>
      <c r="N16" s="110"/>
      <c r="O16" s="110"/>
      <c r="P16" s="110"/>
      <c r="Q16" s="110"/>
      <c r="R16" s="110"/>
      <c r="S16" s="110"/>
      <c r="T16" s="110"/>
      <c r="U16" s="110"/>
      <c r="V16" s="110"/>
      <c r="W16" s="110"/>
      <c r="X16" s="110"/>
      <c r="Y16" s="110"/>
      <c r="Z16" s="110"/>
      <c r="AA16" s="110"/>
      <c r="AB16" s="110"/>
      <c r="AC16" s="110"/>
      <c r="AD16" s="110"/>
      <c r="AE16" s="110"/>
      <c r="AF16" s="110"/>
      <c r="AG16" s="110"/>
      <c r="AH16" s="110"/>
      <c r="AI16" s="110"/>
      <c r="AJ16" s="110"/>
      <c r="AK16" s="110"/>
      <c r="AL16" s="110"/>
      <c r="AM16" s="110"/>
      <c r="AN16" s="110"/>
      <c r="AO16" s="110"/>
      <c r="AP16" s="110"/>
      <c r="AQ16" s="110"/>
      <c r="AR16" s="110"/>
      <c r="AS16" s="110"/>
      <c r="AT16" s="110"/>
      <c r="AU16" s="110"/>
      <c r="AV16" s="110"/>
      <c r="AW16" s="110"/>
      <c r="AX16" s="110"/>
      <c r="AY16" s="110"/>
      <c r="AZ16" s="110"/>
      <c r="BA16" s="110"/>
      <c r="BB16" s="110"/>
      <c r="BC16" s="110"/>
      <c r="BD16" s="110"/>
      <c r="BE16" s="110"/>
      <c r="BF16" s="110"/>
      <c r="BG16" s="110"/>
    </row>
    <row r="17" spans="6:6" s="24" customFormat="1" x14ac:dyDescent="0.15">
      <c r="F17" s="108"/>
    </row>
    <row r="18" spans="6:6" s="24" customFormat="1" x14ac:dyDescent="0.15">
      <c r="F18" s="108"/>
    </row>
    <row r="19" spans="6:6" s="24" customFormat="1" x14ac:dyDescent="0.15">
      <c r="F19" s="108"/>
    </row>
  </sheetData>
  <sheetProtection algorithmName="SHA-512" hashValue="qoMjHPT+4G8ppAWj8P+luJQJ2aZZsHe2zpnhhvuLjirBl87IUP4HEyebOQ/AcyQ+8lCkjVeLX7YjiGO2QFrOIw==" saltValue="dC33e97AqlBnx8EQ5mz0tA==" spinCount="100000" sheet="1" objects="1" scenarios="1" selectLockedCells="1"/>
  <mergeCells count="21">
    <mergeCell ref="K8:K10"/>
    <mergeCell ref="K11:K13"/>
    <mergeCell ref="K14:K16"/>
    <mergeCell ref="B14:B16"/>
    <mergeCell ref="E14:E16"/>
    <mergeCell ref="G14:G16"/>
    <mergeCell ref="H14:H16"/>
    <mergeCell ref="B8:B10"/>
    <mergeCell ref="E8:E10"/>
    <mergeCell ref="G8:G10"/>
    <mergeCell ref="H8:H10"/>
    <mergeCell ref="B11:B13"/>
    <mergeCell ref="E11:E13"/>
    <mergeCell ref="G11:G13"/>
    <mergeCell ref="H11:H13"/>
    <mergeCell ref="I8:I10"/>
    <mergeCell ref="I11:I13"/>
    <mergeCell ref="I14:I16"/>
    <mergeCell ref="J8:J10"/>
    <mergeCell ref="J11:J13"/>
    <mergeCell ref="J14:J16"/>
  </mergeCells>
  <conditionalFormatting sqref="K8 K11 K14">
    <cfRule type="cellIs" dxfId="14" priority="3" operator="equal">
      <formula>0</formula>
    </cfRule>
  </conditionalFormatting>
  <pageMargins left="0.7" right="0.7" top="0.75" bottom="0.75" header="0.3" footer="0.3"/>
  <pageSetup scale="49" orientation="portrait" horizontalDpi="90" verticalDpi="90" r:id="rId1"/>
  <headerFooter>
    <oddHeader>&amp;L&amp;G</oddHeader>
    <oddFooter xml:space="preserve">&amp;C2425 55th Street, Boulder, CO 80301 | archer-tech@idtdna.com
RA-DOC-064 / REV02
For research use only. Not for use in diagnostic procedures.
</oddFoot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592CDE-8C8B-5F46-83E0-DF35685C839C}">
  <sheetPr codeName="Sheet5">
    <pageSetUpPr fitToPage="1"/>
  </sheetPr>
  <dimension ref="B1:S45"/>
  <sheetViews>
    <sheetView view="pageLayout" topLeftCell="A78" zoomScaleNormal="130" workbookViewId="0">
      <selection activeCell="E12" sqref="E12"/>
    </sheetView>
  </sheetViews>
  <sheetFormatPr baseColWidth="10" defaultColWidth="10.83203125" defaultRowHeight="16" x14ac:dyDescent="0.2"/>
  <cols>
    <col min="1" max="1" width="1.5" style="125" customWidth="1"/>
    <col min="2" max="2" width="4" style="125" customWidth="1"/>
    <col min="3" max="3" width="2.83203125" style="124" bestFit="1" customWidth="1"/>
    <col min="4" max="4" width="39.6640625" style="125" customWidth="1"/>
    <col min="5" max="5" width="7.6640625" style="124" customWidth="1"/>
    <col min="6" max="6" width="4" style="124" customWidth="1"/>
    <col min="7" max="7" width="2.33203125" style="124" customWidth="1"/>
    <col min="8" max="8" width="4" style="125" customWidth="1"/>
    <col min="9" max="9" width="27.6640625" style="125" customWidth="1"/>
    <col min="10" max="10" width="6.6640625" style="125" customWidth="1"/>
    <col min="11" max="11" width="4" style="125" customWidth="1"/>
    <col min="12" max="12" width="2.33203125" style="121" customWidth="1"/>
    <col min="13" max="13" width="4" style="125" customWidth="1"/>
    <col min="14" max="14" width="15.83203125" style="125" customWidth="1"/>
    <col min="15" max="15" width="7.83203125" style="125" customWidth="1"/>
    <col min="16" max="16" width="19.6640625" style="125" bestFit="1" customWidth="1"/>
    <col min="17" max="17" width="4" style="125" customWidth="1"/>
    <col min="18" max="16384" width="10.83203125" style="125"/>
  </cols>
  <sheetData>
    <row r="1" spans="2:19" s="121" customFormat="1" ht="34" customHeight="1" x14ac:dyDescent="0.2">
      <c r="B1" s="397" t="s">
        <v>96</v>
      </c>
      <c r="C1" s="397"/>
      <c r="D1" s="397"/>
      <c r="E1" s="397"/>
      <c r="F1" s="397"/>
      <c r="G1" s="397"/>
      <c r="H1" s="397"/>
      <c r="I1" s="397"/>
      <c r="J1" s="397"/>
    </row>
    <row r="2" spans="2:19" ht="20" customHeight="1" x14ac:dyDescent="0.2">
      <c r="B2" s="47" t="s">
        <v>97</v>
      </c>
      <c r="C2" s="122"/>
      <c r="D2" s="123"/>
    </row>
    <row r="3" spans="2:19" ht="20" customHeight="1" x14ac:dyDescent="0.2">
      <c r="B3" s="351" t="s">
        <v>98</v>
      </c>
      <c r="C3" s="122"/>
      <c r="D3" s="123"/>
    </row>
    <row r="4" spans="2:19" ht="17" thickBot="1" x14ac:dyDescent="0.25">
      <c r="B4" s="126"/>
      <c r="D4" s="127"/>
      <c r="H4" s="124"/>
      <c r="I4" s="124"/>
      <c r="J4" s="124"/>
    </row>
    <row r="5" spans="2:19" ht="23" customHeight="1" thickBot="1" x14ac:dyDescent="0.25">
      <c r="B5" s="400" t="s">
        <v>99</v>
      </c>
      <c r="C5" s="401"/>
      <c r="D5" s="401"/>
      <c r="E5" s="401"/>
      <c r="F5" s="401"/>
      <c r="G5" s="401"/>
      <c r="H5" s="401"/>
      <c r="I5" s="401"/>
      <c r="J5" s="401"/>
      <c r="K5" s="402"/>
      <c r="M5" s="128" t="s">
        <v>100</v>
      </c>
      <c r="N5" s="129"/>
      <c r="O5" s="129"/>
      <c r="P5" s="130"/>
      <c r="Q5" s="131"/>
    </row>
    <row r="6" spans="2:19" x14ac:dyDescent="0.2">
      <c r="B6" s="132"/>
      <c r="C6" s="133"/>
      <c r="D6" s="134"/>
      <c r="E6" s="133"/>
      <c r="F6" s="133"/>
      <c r="G6" s="133"/>
      <c r="H6" s="135"/>
      <c r="I6" s="135"/>
      <c r="J6" s="135"/>
      <c r="K6" s="136"/>
      <c r="M6" s="137"/>
      <c r="N6" s="138"/>
      <c r="O6" s="138"/>
      <c r="P6" s="138"/>
      <c r="Q6" s="139"/>
    </row>
    <row r="7" spans="2:19" s="121" customFormat="1" x14ac:dyDescent="0.2">
      <c r="B7" s="140"/>
      <c r="C7" s="141"/>
      <c r="D7" s="142"/>
      <c r="E7" s="141"/>
      <c r="F7" s="141"/>
      <c r="G7" s="141"/>
      <c r="H7" s="142" t="s">
        <v>101</v>
      </c>
      <c r="I7" s="142"/>
      <c r="J7" s="141"/>
      <c r="K7" s="143"/>
      <c r="M7" s="144"/>
      <c r="N7" s="145" t="s">
        <v>102</v>
      </c>
      <c r="O7" s="125"/>
      <c r="P7" s="146"/>
      <c r="Q7" s="147"/>
    </row>
    <row r="8" spans="2:19" x14ac:dyDescent="0.2">
      <c r="B8" s="148"/>
      <c r="C8" s="133"/>
      <c r="D8" s="149" t="s">
        <v>103</v>
      </c>
      <c r="E8" s="9">
        <v>10.199999999999999</v>
      </c>
      <c r="F8" s="150"/>
      <c r="G8" s="150"/>
      <c r="H8" s="405" t="s">
        <v>104</v>
      </c>
      <c r="I8" s="406"/>
      <c r="J8" s="6">
        <v>1.2</v>
      </c>
      <c r="K8" s="136"/>
      <c r="M8" s="151"/>
      <c r="N8" s="152" t="s">
        <v>105</v>
      </c>
      <c r="O8" s="153"/>
      <c r="P8" s="154" t="s">
        <v>106</v>
      </c>
      <c r="Q8" s="147"/>
    </row>
    <row r="9" spans="2:19" x14ac:dyDescent="0.2">
      <c r="B9" s="148"/>
      <c r="C9" s="133"/>
      <c r="D9" s="155"/>
      <c r="E9" s="156"/>
      <c r="F9" s="150"/>
      <c r="G9" s="150"/>
      <c r="H9" s="407" t="s">
        <v>107</v>
      </c>
      <c r="I9" s="408"/>
      <c r="J9" s="7">
        <v>1300</v>
      </c>
      <c r="K9" s="136"/>
      <c r="M9" s="151"/>
      <c r="N9" s="398" t="s">
        <v>108</v>
      </c>
      <c r="O9" s="399"/>
      <c r="P9" s="157" t="s">
        <v>109</v>
      </c>
      <c r="Q9" s="147"/>
    </row>
    <row r="10" spans="2:19" x14ac:dyDescent="0.2">
      <c r="B10" s="148"/>
      <c r="C10" s="133"/>
      <c r="D10" s="158" t="s">
        <v>110</v>
      </c>
      <c r="E10" s="159"/>
      <c r="F10" s="160"/>
      <c r="G10" s="160"/>
      <c r="H10" s="407" t="s">
        <v>111</v>
      </c>
      <c r="I10" s="408"/>
      <c r="J10" s="10">
        <v>20</v>
      </c>
      <c r="K10" s="136"/>
      <c r="M10" s="151"/>
      <c r="N10" s="145" t="s">
        <v>112</v>
      </c>
      <c r="P10" s="146"/>
      <c r="Q10" s="147"/>
    </row>
    <row r="11" spans="2:19" x14ac:dyDescent="0.2">
      <c r="B11" s="148"/>
      <c r="C11" s="133"/>
      <c r="D11" s="152" t="s">
        <v>113</v>
      </c>
      <c r="E11" s="6">
        <v>4</v>
      </c>
      <c r="F11" s="150"/>
      <c r="G11" s="150"/>
      <c r="H11" s="409" t="s">
        <v>114</v>
      </c>
      <c r="I11" s="410"/>
      <c r="J11" s="8">
        <v>20</v>
      </c>
      <c r="K11" s="136"/>
      <c r="M11" s="151"/>
      <c r="N11" s="152" t="s">
        <v>105</v>
      </c>
      <c r="O11" s="153"/>
      <c r="P11" s="154" t="s">
        <v>115</v>
      </c>
      <c r="Q11" s="161"/>
    </row>
    <row r="12" spans="2:19" x14ac:dyDescent="0.2">
      <c r="B12" s="148"/>
      <c r="C12" s="133"/>
      <c r="D12" s="162" t="s">
        <v>116</v>
      </c>
      <c r="E12" s="8">
        <v>10</v>
      </c>
      <c r="F12" s="150"/>
      <c r="G12" s="150"/>
      <c r="H12" s="135"/>
      <c r="I12" s="135"/>
      <c r="J12" s="135"/>
      <c r="K12" s="136"/>
      <c r="M12" s="151"/>
      <c r="N12" s="398" t="s">
        <v>108</v>
      </c>
      <c r="O12" s="399"/>
      <c r="P12" s="157" t="s">
        <v>117</v>
      </c>
      <c r="Q12" s="161"/>
    </row>
    <row r="13" spans="2:19" x14ac:dyDescent="0.2">
      <c r="B13" s="148"/>
      <c r="C13" s="133"/>
      <c r="D13" s="135" t="s">
        <v>118</v>
      </c>
      <c r="E13" s="133"/>
      <c r="F13" s="133"/>
      <c r="G13" s="133"/>
      <c r="H13" s="135"/>
      <c r="I13" s="135"/>
      <c r="J13" s="135"/>
      <c r="K13" s="136"/>
      <c r="M13" s="151"/>
      <c r="N13" s="123" t="s">
        <v>119</v>
      </c>
      <c r="O13" s="163"/>
      <c r="P13" s="163"/>
      <c r="Q13" s="161"/>
    </row>
    <row r="14" spans="2:19" s="121" customFormat="1" ht="17" thickBot="1" x14ac:dyDescent="0.25">
      <c r="B14" s="164"/>
      <c r="C14" s="165"/>
      <c r="D14" s="165"/>
      <c r="E14" s="165"/>
      <c r="F14" s="165"/>
      <c r="G14" s="165"/>
      <c r="H14" s="165"/>
      <c r="I14" s="165"/>
      <c r="J14" s="165"/>
      <c r="K14" s="166"/>
      <c r="M14" s="167"/>
      <c r="N14" s="168" t="s">
        <v>120</v>
      </c>
      <c r="O14" s="168"/>
      <c r="P14" s="168"/>
      <c r="Q14" s="169"/>
      <c r="S14" s="125"/>
    </row>
    <row r="15" spans="2:19" s="121" customFormat="1" x14ac:dyDescent="0.2">
      <c r="M15" s="125"/>
      <c r="N15" s="125"/>
      <c r="O15" s="125"/>
      <c r="P15" s="125"/>
      <c r="Q15" s="125"/>
      <c r="S15" s="125"/>
    </row>
    <row r="16" spans="2:19" s="121" customFormat="1" ht="16" customHeight="1" thickBot="1" x14ac:dyDescent="0.25">
      <c r="B16" s="403" t="s">
        <v>121</v>
      </c>
      <c r="C16" s="404"/>
      <c r="D16" s="404"/>
      <c r="E16" s="404"/>
      <c r="F16" s="404"/>
      <c r="G16" s="404"/>
      <c r="H16" s="404"/>
      <c r="I16" s="404"/>
      <c r="J16" s="404"/>
      <c r="K16" s="404"/>
      <c r="L16" s="404"/>
      <c r="M16" s="404"/>
      <c r="N16" s="404"/>
      <c r="O16" s="404"/>
      <c r="P16" s="404"/>
      <c r="Q16" s="404"/>
      <c r="S16" s="125"/>
    </row>
    <row r="17" spans="2:17" ht="17" thickBot="1" x14ac:dyDescent="0.25"/>
    <row r="18" spans="2:17" ht="25" customHeight="1" thickBot="1" x14ac:dyDescent="0.25">
      <c r="B18" s="411" t="s">
        <v>122</v>
      </c>
      <c r="C18" s="412"/>
      <c r="D18" s="412"/>
      <c r="E18" s="412"/>
      <c r="F18" s="413"/>
      <c r="G18" s="170"/>
      <c r="H18" s="411" t="s">
        <v>123</v>
      </c>
      <c r="I18" s="412"/>
      <c r="J18" s="412"/>
      <c r="K18" s="413"/>
      <c r="M18" s="411" t="s">
        <v>124</v>
      </c>
      <c r="N18" s="412"/>
      <c r="O18" s="412"/>
      <c r="P18" s="412"/>
      <c r="Q18" s="413"/>
    </row>
    <row r="19" spans="2:17" x14ac:dyDescent="0.2">
      <c r="B19" s="417" t="s">
        <v>125</v>
      </c>
      <c r="C19" s="171"/>
      <c r="D19" s="171"/>
      <c r="E19" s="171"/>
      <c r="F19" s="172"/>
      <c r="G19" s="125"/>
      <c r="H19" s="137"/>
      <c r="I19" s="138"/>
      <c r="J19" s="138"/>
      <c r="K19" s="139"/>
      <c r="M19" s="137"/>
      <c r="N19" s="138"/>
      <c r="O19" s="138"/>
      <c r="P19" s="138"/>
      <c r="Q19" s="139"/>
    </row>
    <row r="20" spans="2:17" x14ac:dyDescent="0.2">
      <c r="B20" s="418"/>
      <c r="C20" s="173" t="s">
        <v>126</v>
      </c>
      <c r="D20" s="174" t="s">
        <v>127</v>
      </c>
      <c r="E20" s="175" t="s">
        <v>128</v>
      </c>
      <c r="F20" s="176"/>
      <c r="G20" s="125"/>
      <c r="H20" s="151"/>
      <c r="I20" s="145" t="s">
        <v>129</v>
      </c>
      <c r="K20" s="161"/>
      <c r="M20" s="151"/>
      <c r="P20" s="177" t="s">
        <v>130</v>
      </c>
      <c r="Q20" s="161"/>
    </row>
    <row r="21" spans="2:17" x14ac:dyDescent="0.2">
      <c r="B21" s="418"/>
      <c r="C21" s="173"/>
      <c r="D21" s="152" t="s">
        <v>131</v>
      </c>
      <c r="E21" s="178">
        <f>E11*E12/E8</f>
        <v>3.9215686274509807</v>
      </c>
      <c r="F21" s="179"/>
      <c r="G21" s="180"/>
      <c r="H21" s="151"/>
      <c r="I21" s="181" t="s">
        <v>132</v>
      </c>
      <c r="J21" s="182">
        <f>E21*E8/E23*1000</f>
        <v>4000</v>
      </c>
      <c r="K21" s="161"/>
      <c r="M21" s="151"/>
      <c r="N21" s="415" t="s">
        <v>133</v>
      </c>
      <c r="O21" s="416"/>
      <c r="P21" s="183">
        <f>J8*(J9*10^-6)*(1-(J10/100))</f>
        <v>1.248E-3</v>
      </c>
      <c r="Q21" s="161"/>
    </row>
    <row r="22" spans="2:17" x14ac:dyDescent="0.2">
      <c r="B22" s="418"/>
      <c r="C22" s="173"/>
      <c r="D22" s="184" t="s">
        <v>134</v>
      </c>
      <c r="E22" s="185">
        <f>E12-E21</f>
        <v>6.0784313725490193</v>
      </c>
      <c r="F22" s="179"/>
      <c r="G22" s="180"/>
      <c r="H22" s="151"/>
      <c r="I22" s="184" t="s">
        <v>135</v>
      </c>
      <c r="J22" s="186">
        <v>0</v>
      </c>
      <c r="K22" s="161"/>
      <c r="M22" s="151"/>
      <c r="N22" s="422" t="s">
        <v>136</v>
      </c>
      <c r="O22" s="423"/>
      <c r="P22" s="187">
        <f>J8*(J9*10^-6)*(J10/100)</f>
        <v>3.1199999999999999E-4</v>
      </c>
      <c r="Q22" s="161"/>
    </row>
    <row r="23" spans="2:17" x14ac:dyDescent="0.2">
      <c r="B23" s="418"/>
      <c r="C23" s="188"/>
      <c r="D23" s="189" t="s">
        <v>137</v>
      </c>
      <c r="E23" s="190">
        <f>SUM(E21:E22)</f>
        <v>10</v>
      </c>
      <c r="F23" s="191"/>
      <c r="H23" s="151"/>
      <c r="I23" s="124"/>
      <c r="J23" s="180"/>
      <c r="K23" s="161"/>
      <c r="M23" s="151"/>
      <c r="N23" s="398" t="s">
        <v>138</v>
      </c>
      <c r="O23" s="399"/>
      <c r="P23" s="192">
        <f>J8*(J9*10^-6)</f>
        <v>1.56E-3</v>
      </c>
      <c r="Q23" s="161"/>
    </row>
    <row r="24" spans="2:17" x14ac:dyDescent="0.2">
      <c r="B24" s="418"/>
      <c r="C24" s="188"/>
      <c r="D24" s="193"/>
      <c r="E24" s="188"/>
      <c r="F24" s="191"/>
      <c r="H24" s="151"/>
      <c r="I24" s="124"/>
      <c r="J24" s="180"/>
      <c r="K24" s="161"/>
      <c r="M24" s="151"/>
      <c r="Q24" s="161"/>
    </row>
    <row r="25" spans="2:17" x14ac:dyDescent="0.2">
      <c r="B25" s="418"/>
      <c r="C25" s="173" t="s">
        <v>139</v>
      </c>
      <c r="D25" s="174" t="s">
        <v>140</v>
      </c>
      <c r="E25" s="175" t="s">
        <v>128</v>
      </c>
      <c r="F25" s="194"/>
      <c r="G25" s="195"/>
      <c r="H25" s="151"/>
      <c r="I25" s="145" t="s">
        <v>141</v>
      </c>
      <c r="K25" s="161"/>
      <c r="M25" s="151"/>
      <c r="P25" s="146" t="s">
        <v>142</v>
      </c>
      <c r="Q25" s="161"/>
    </row>
    <row r="26" spans="2:17" x14ac:dyDescent="0.2">
      <c r="B26" s="418"/>
      <c r="C26" s="173"/>
      <c r="D26" s="152" t="s">
        <v>143</v>
      </c>
      <c r="E26" s="178">
        <f>E23</f>
        <v>10</v>
      </c>
      <c r="F26" s="179"/>
      <c r="G26" s="180"/>
      <c r="H26" s="151"/>
      <c r="I26" s="181" t="s">
        <v>144</v>
      </c>
      <c r="J26" s="196">
        <f>(E8*E21/E23)*E26/E29*1000</f>
        <v>2000</v>
      </c>
      <c r="K26" s="161"/>
      <c r="M26" s="151"/>
      <c r="N26" s="197" t="s">
        <v>145</v>
      </c>
      <c r="O26" s="198"/>
      <c r="P26" s="199">
        <f>(E39/E35)*(E8*10^3)*(E21*10^-6)</f>
        <v>1.248E-3</v>
      </c>
      <c r="Q26" s="161"/>
    </row>
    <row r="27" spans="2:17" x14ac:dyDescent="0.2">
      <c r="B27" s="418"/>
      <c r="C27" s="173"/>
      <c r="D27" s="200" t="s">
        <v>146</v>
      </c>
      <c r="E27" s="201">
        <f>E23</f>
        <v>10</v>
      </c>
      <c r="F27" s="179"/>
      <c r="G27" s="180"/>
      <c r="H27" s="151"/>
      <c r="I27" s="184" t="s">
        <v>135</v>
      </c>
      <c r="J27" s="186">
        <f>200*E27/E29</f>
        <v>100</v>
      </c>
      <c r="K27" s="161"/>
      <c r="M27" s="151"/>
      <c r="N27" s="202" t="s">
        <v>147</v>
      </c>
      <c r="P27" s="203">
        <f>(E40*10^-6)*J11</f>
        <v>3.1199999999999999E-4</v>
      </c>
      <c r="Q27" s="161"/>
    </row>
    <row r="28" spans="2:17" x14ac:dyDescent="0.2">
      <c r="B28" s="418"/>
      <c r="C28" s="173"/>
      <c r="D28" s="420" t="s">
        <v>148</v>
      </c>
      <c r="E28" s="421"/>
      <c r="F28" s="204"/>
      <c r="G28" s="205"/>
      <c r="H28" s="151"/>
      <c r="I28" s="206"/>
      <c r="K28" s="161"/>
      <c r="M28" s="151"/>
      <c r="N28" s="202" t="s">
        <v>149</v>
      </c>
      <c r="P28" s="203">
        <f>SUM((E39/E35)*(E8*10^3)*(E21*10^-6), J11*(E40*10^-6))</f>
        <v>1.56E-3</v>
      </c>
      <c r="Q28" s="161"/>
    </row>
    <row r="29" spans="2:17" x14ac:dyDescent="0.2">
      <c r="B29" s="418"/>
      <c r="C29" s="173"/>
      <c r="D29" s="189" t="s">
        <v>150</v>
      </c>
      <c r="E29" s="190">
        <f>SUM(E26:E27)</f>
        <v>20</v>
      </c>
      <c r="F29" s="204"/>
      <c r="G29" s="205"/>
      <c r="H29" s="151"/>
      <c r="I29" s="206"/>
      <c r="K29" s="161"/>
      <c r="M29" s="151"/>
      <c r="N29" s="398" t="s">
        <v>151</v>
      </c>
      <c r="O29" s="399"/>
      <c r="P29" s="207">
        <f>P28/(E43*10^-6)</f>
        <v>1.2</v>
      </c>
      <c r="Q29" s="161"/>
    </row>
    <row r="30" spans="2:17" x14ac:dyDescent="0.2">
      <c r="B30" s="418"/>
      <c r="C30" s="173"/>
      <c r="D30" s="208"/>
      <c r="E30" s="175"/>
      <c r="F30" s="194"/>
      <c r="G30" s="195"/>
      <c r="H30" s="151"/>
      <c r="I30" s="206"/>
      <c r="K30" s="161"/>
      <c r="M30" s="151"/>
      <c r="N30" s="414" t="s">
        <v>152</v>
      </c>
      <c r="O30" s="414"/>
      <c r="P30" s="414"/>
      <c r="Q30" s="161"/>
    </row>
    <row r="31" spans="2:17" ht="17" thickBot="1" x14ac:dyDescent="0.25">
      <c r="B31" s="418"/>
      <c r="C31" s="173" t="s">
        <v>153</v>
      </c>
      <c r="D31" s="174" t="s">
        <v>154</v>
      </c>
      <c r="E31" s="175" t="s">
        <v>128</v>
      </c>
      <c r="F31" s="194"/>
      <c r="G31" s="195"/>
      <c r="H31" s="151"/>
      <c r="I31" s="163" t="s">
        <v>155</v>
      </c>
      <c r="K31" s="161"/>
      <c r="M31" s="167"/>
      <c r="N31" s="168"/>
      <c r="O31" s="168"/>
      <c r="P31" s="168"/>
      <c r="Q31" s="169"/>
    </row>
    <row r="32" spans="2:17" ht="17" thickBot="1" x14ac:dyDescent="0.25">
      <c r="B32" s="418"/>
      <c r="C32" s="173"/>
      <c r="D32" s="152" t="s">
        <v>156</v>
      </c>
      <c r="E32" s="178">
        <f>E29</f>
        <v>20</v>
      </c>
      <c r="F32" s="179"/>
      <c r="G32" s="180"/>
      <c r="H32" s="151"/>
      <c r="I32" s="181" t="s">
        <v>144</v>
      </c>
      <c r="J32" s="182">
        <f>((E8*E21/E23)*E26/E29)*E32/E35*1000</f>
        <v>40</v>
      </c>
      <c r="K32" s="161"/>
    </row>
    <row r="33" spans="2:17" ht="21" customHeight="1" thickBot="1" x14ac:dyDescent="0.25">
      <c r="B33" s="418"/>
      <c r="C33" s="173"/>
      <c r="D33" s="200" t="s">
        <v>157</v>
      </c>
      <c r="E33" s="201">
        <f>E27</f>
        <v>10</v>
      </c>
      <c r="F33" s="179"/>
      <c r="G33" s="180"/>
      <c r="H33" s="151"/>
      <c r="I33" s="184" t="s">
        <v>135</v>
      </c>
      <c r="J33" s="209">
        <f>(200*E27/E29)*E32/SUM(E32:E34)</f>
        <v>2</v>
      </c>
      <c r="K33" s="161"/>
      <c r="M33" s="128" t="s">
        <v>158</v>
      </c>
      <c r="N33" s="210"/>
      <c r="O33" s="210"/>
      <c r="P33" s="210"/>
      <c r="Q33" s="211"/>
    </row>
    <row r="34" spans="2:17" x14ac:dyDescent="0.2">
      <c r="B34" s="418"/>
      <c r="C34" s="173"/>
      <c r="D34" s="184" t="s">
        <v>159</v>
      </c>
      <c r="E34" s="185">
        <f>1000-E32-E33</f>
        <v>970</v>
      </c>
      <c r="F34" s="179"/>
      <c r="G34" s="180"/>
      <c r="H34" s="151"/>
      <c r="I34" s="124"/>
      <c r="J34" s="180"/>
      <c r="K34" s="161"/>
      <c r="M34" s="137"/>
      <c r="N34" s="138"/>
      <c r="O34" s="138"/>
      <c r="P34" s="138"/>
      <c r="Q34" s="139"/>
    </row>
    <row r="35" spans="2:17" x14ac:dyDescent="0.2">
      <c r="B35" s="418"/>
      <c r="C35" s="173"/>
      <c r="D35" s="189" t="s">
        <v>160</v>
      </c>
      <c r="E35" s="190">
        <f>SUM(E32:E34)</f>
        <v>1000</v>
      </c>
      <c r="F35" s="179"/>
      <c r="G35" s="180"/>
      <c r="H35" s="151"/>
      <c r="I35" s="124"/>
      <c r="J35" s="180"/>
      <c r="K35" s="161"/>
      <c r="M35" s="151"/>
      <c r="N35" s="145" t="s">
        <v>146</v>
      </c>
      <c r="P35" s="146" t="s">
        <v>128</v>
      </c>
      <c r="Q35" s="161"/>
    </row>
    <row r="36" spans="2:17" ht="17" thickBot="1" x14ac:dyDescent="0.25">
      <c r="B36" s="419"/>
      <c r="C36" s="212"/>
      <c r="D36" s="213"/>
      <c r="E36" s="214"/>
      <c r="F36" s="215"/>
      <c r="G36" s="195"/>
      <c r="H36" s="151"/>
      <c r="I36" s="124"/>
      <c r="J36" s="216"/>
      <c r="K36" s="161"/>
      <c r="M36" s="151"/>
      <c r="N36" s="415" t="s">
        <v>161</v>
      </c>
      <c r="O36" s="416"/>
      <c r="P36" s="217">
        <v>8</v>
      </c>
      <c r="Q36" s="161"/>
    </row>
    <row r="37" spans="2:17" x14ac:dyDescent="0.2">
      <c r="B37" s="417" t="s">
        <v>162</v>
      </c>
      <c r="C37" s="218"/>
      <c r="D37" s="219"/>
      <c r="E37" s="220"/>
      <c r="F37" s="221"/>
      <c r="G37" s="195"/>
      <c r="H37" s="137"/>
      <c r="I37" s="222"/>
      <c r="J37" s="223"/>
      <c r="K37" s="139"/>
      <c r="M37" s="151"/>
      <c r="N37" s="398" t="s">
        <v>163</v>
      </c>
      <c r="O37" s="399"/>
      <c r="P37" s="224">
        <v>192</v>
      </c>
      <c r="Q37" s="161"/>
    </row>
    <row r="38" spans="2:17" ht="34" x14ac:dyDescent="0.2">
      <c r="B38" s="418"/>
      <c r="C38" s="173" t="s">
        <v>164</v>
      </c>
      <c r="D38" s="225" t="s">
        <v>165</v>
      </c>
      <c r="E38" s="175" t="s">
        <v>128</v>
      </c>
      <c r="F38" s="194"/>
      <c r="G38" s="195"/>
      <c r="H38" s="151"/>
      <c r="I38" s="226" t="s">
        <v>166</v>
      </c>
      <c r="K38" s="161"/>
      <c r="M38" s="151"/>
      <c r="N38" s="227"/>
      <c r="O38" s="228" t="s">
        <v>167</v>
      </c>
      <c r="P38" s="227">
        <f>SUM(P36:P37)</f>
        <v>200</v>
      </c>
      <c r="Q38" s="161"/>
    </row>
    <row r="39" spans="2:17" x14ac:dyDescent="0.2">
      <c r="B39" s="418"/>
      <c r="C39" s="173"/>
      <c r="D39" s="152" t="s">
        <v>168</v>
      </c>
      <c r="E39" s="178">
        <f>J8*(J9-(J9*(J10/100)))/J32</f>
        <v>31.2</v>
      </c>
      <c r="F39" s="179"/>
      <c r="G39" s="180"/>
      <c r="H39" s="151"/>
      <c r="I39" s="181" t="s">
        <v>144</v>
      </c>
      <c r="J39" s="196">
        <f>E39/E43*E32/E35*E26/E29*E8/E23*E21*1000</f>
        <v>0.96000000000000008</v>
      </c>
      <c r="K39" s="161"/>
      <c r="M39" s="151"/>
      <c r="Q39" s="161"/>
    </row>
    <row r="40" spans="2:17" x14ac:dyDescent="0.2">
      <c r="B40" s="418"/>
      <c r="C40" s="173"/>
      <c r="D40" s="200" t="s">
        <v>169</v>
      </c>
      <c r="E40" s="201">
        <f>J8*(J10/100)*J9/J11</f>
        <v>15.6</v>
      </c>
      <c r="F40" s="179"/>
      <c r="G40" s="180"/>
      <c r="H40" s="151"/>
      <c r="I40" s="202" t="s">
        <v>170</v>
      </c>
      <c r="J40" s="229">
        <f>E40/E43*J11</f>
        <v>0.24</v>
      </c>
      <c r="K40" s="161"/>
      <c r="M40" s="151"/>
      <c r="N40" s="145" t="s">
        <v>157</v>
      </c>
      <c r="P40" s="146" t="s">
        <v>128</v>
      </c>
      <c r="Q40" s="161"/>
    </row>
    <row r="41" spans="2:17" x14ac:dyDescent="0.2">
      <c r="B41" s="418"/>
      <c r="C41" s="173"/>
      <c r="D41" s="184" t="s">
        <v>159</v>
      </c>
      <c r="E41" s="185">
        <f>J9-E39-E40</f>
        <v>1253.2</v>
      </c>
      <c r="F41" s="179"/>
      <c r="G41" s="180"/>
      <c r="H41" s="151"/>
      <c r="I41" s="200" t="s">
        <v>135</v>
      </c>
      <c r="J41" s="229">
        <f>200*E26/E29*E32/E35*E39/E43</f>
        <v>4.8000000000000001E-2</v>
      </c>
      <c r="K41" s="161"/>
      <c r="M41" s="151"/>
      <c r="N41" s="415" t="s">
        <v>171</v>
      </c>
      <c r="O41" s="416"/>
      <c r="P41" s="217">
        <v>20</v>
      </c>
      <c r="Q41" s="161"/>
    </row>
    <row r="42" spans="2:17" x14ac:dyDescent="0.2">
      <c r="B42" s="418"/>
      <c r="C42" s="173"/>
      <c r="D42" s="420" t="str">
        <f>CONCATENATE("Load full volume (",E43," μL) into cartridge")</f>
        <v>Load full volume (1300 μL) into cartridge</v>
      </c>
      <c r="E42" s="421"/>
      <c r="F42" s="179"/>
      <c r="G42" s="180"/>
      <c r="H42" s="151"/>
      <c r="I42" s="230" t="s">
        <v>172</v>
      </c>
      <c r="J42" s="231">
        <f>E39/E43*E32/E35*E26/E29*E8/E23*E21*1000 + E40/E43*J11</f>
        <v>1.2000000000000002</v>
      </c>
      <c r="K42" s="161"/>
      <c r="M42" s="151"/>
      <c r="N42" s="398" t="s">
        <v>163</v>
      </c>
      <c r="O42" s="399"/>
      <c r="P42" s="224">
        <v>80</v>
      </c>
      <c r="Q42" s="161"/>
    </row>
    <row r="43" spans="2:17" x14ac:dyDescent="0.2">
      <c r="B43" s="418"/>
      <c r="C43" s="188"/>
      <c r="D43" s="189" t="s">
        <v>173</v>
      </c>
      <c r="E43" s="190">
        <f>SUM(E39:E41)</f>
        <v>1300</v>
      </c>
      <c r="F43" s="176"/>
      <c r="G43" s="125"/>
      <c r="H43" s="151"/>
      <c r="K43" s="161"/>
      <c r="M43" s="151"/>
      <c r="O43" s="232" t="s">
        <v>167</v>
      </c>
      <c r="P43" s="125">
        <f>SUM(P41:P42)</f>
        <v>100</v>
      </c>
      <c r="Q43" s="161"/>
    </row>
    <row r="44" spans="2:17" ht="17" thickBot="1" x14ac:dyDescent="0.25">
      <c r="B44" s="419"/>
      <c r="C44" s="233"/>
      <c r="D44" s="233"/>
      <c r="E44" s="233"/>
      <c r="F44" s="234"/>
      <c r="G44" s="125"/>
      <c r="H44" s="167"/>
      <c r="I44" s="168"/>
      <c r="J44" s="168"/>
      <c r="K44" s="169"/>
      <c r="M44" s="167"/>
      <c r="N44" s="168"/>
      <c r="O44" s="168"/>
      <c r="P44" s="168"/>
      <c r="Q44" s="169"/>
    </row>
    <row r="45" spans="2:17" x14ac:dyDescent="0.2">
      <c r="C45" s="205"/>
    </row>
  </sheetData>
  <sheetProtection algorithmName="SHA-512" hashValue="ssa3Z0eZqycuhcLsC1TqH+333/qzfAAqxboe79y0zGRuP/snWFCVESR9Waqrk4S8rZ7xpl2L1UPNYwXZY6Gfyw==" saltValue="lgJwWu5Ae5RF3k38DViRxw==" spinCount="100000" sheet="1" objects="1" scenarios="1" selectLockedCells="1"/>
  <mergeCells count="25">
    <mergeCell ref="N30:P30"/>
    <mergeCell ref="N36:O36"/>
    <mergeCell ref="B37:B44"/>
    <mergeCell ref="N37:O37"/>
    <mergeCell ref="N41:O41"/>
    <mergeCell ref="D42:E42"/>
    <mergeCell ref="N42:O42"/>
    <mergeCell ref="B19:B36"/>
    <mergeCell ref="N21:O21"/>
    <mergeCell ref="N22:O22"/>
    <mergeCell ref="D28:E28"/>
    <mergeCell ref="B18:F18"/>
    <mergeCell ref="H18:K18"/>
    <mergeCell ref="M18:Q18"/>
    <mergeCell ref="N29:O29"/>
    <mergeCell ref="N23:O23"/>
    <mergeCell ref="B1:J1"/>
    <mergeCell ref="N9:O9"/>
    <mergeCell ref="B5:K5"/>
    <mergeCell ref="N12:O12"/>
    <mergeCell ref="B16:Q16"/>
    <mergeCell ref="H8:I8"/>
    <mergeCell ref="H9:I9"/>
    <mergeCell ref="H10:I10"/>
    <mergeCell ref="H11:I11"/>
  </mergeCells>
  <conditionalFormatting sqref="D39">
    <cfRule type="colorScale" priority="12">
      <colorScale>
        <cfvo type="num" val="0"/>
        <cfvo type="num" val="1000"/>
        <color rgb="FFFF0000"/>
        <color rgb="FFFF0000"/>
      </colorScale>
    </cfRule>
  </conditionalFormatting>
  <conditionalFormatting sqref="E11">
    <cfRule type="cellIs" dxfId="13" priority="6" operator="greaterThan">
      <formula>$E$8</formula>
    </cfRule>
    <cfRule type="cellIs" dxfId="12" priority="4" operator="lessThan">
      <formula>($J$8/1000)*($J$9/1000)*(1000/$E$12)</formula>
    </cfRule>
  </conditionalFormatting>
  <conditionalFormatting sqref="E22">
    <cfRule type="cellIs" dxfId="11" priority="3" operator="lessThan">
      <formula>0</formula>
    </cfRule>
  </conditionalFormatting>
  <conditionalFormatting sqref="E39">
    <cfRule type="cellIs" dxfId="10" priority="11" operator="greaterThan">
      <formula>1000</formula>
    </cfRule>
    <cfRule type="cellIs" dxfId="9" priority="10" operator="lessThan">
      <formula>0</formula>
    </cfRule>
  </conditionalFormatting>
  <conditionalFormatting sqref="E40">
    <cfRule type="cellIs" dxfId="8" priority="9" operator="greaterThan">
      <formula>1300</formula>
    </cfRule>
  </conditionalFormatting>
  <conditionalFormatting sqref="E41">
    <cfRule type="cellIs" dxfId="7" priority="8" operator="lessThan">
      <formula>0</formula>
    </cfRule>
  </conditionalFormatting>
  <conditionalFormatting sqref="J8">
    <cfRule type="cellIs" dxfId="6" priority="5" operator="greaterThan">
      <formula>($E$11*1000)*(1000/1300)*($E$12/1000)</formula>
    </cfRule>
  </conditionalFormatting>
  <conditionalFormatting sqref="J10">
    <cfRule type="cellIs" dxfId="5" priority="7" operator="greaterThan">
      <formula>99.9</formula>
    </cfRule>
    <cfRule type="cellIs" dxfId="4" priority="2" operator="greaterThan">
      <formula>((($J$11*($E$43-$E$39)/$E$43))/$J$8)*100</formula>
    </cfRule>
  </conditionalFormatting>
  <conditionalFormatting sqref="P26">
    <cfRule type="cellIs" dxfId="3" priority="15" operator="equal">
      <formula>$P$21</formula>
    </cfRule>
  </conditionalFormatting>
  <conditionalFormatting sqref="P27">
    <cfRule type="cellIs" dxfId="2" priority="14" operator="equal">
      <formula>$P$22</formula>
    </cfRule>
  </conditionalFormatting>
  <conditionalFormatting sqref="P28">
    <cfRule type="cellIs" dxfId="1" priority="13" operator="equal">
      <formula>$P$23</formula>
    </cfRule>
  </conditionalFormatting>
  <conditionalFormatting sqref="P29">
    <cfRule type="cellIs" dxfId="0" priority="1" operator="equal">
      <formula>$J$8</formula>
    </cfRule>
  </conditionalFormatting>
  <pageMargins left="0.7" right="0.7" top="0.75" bottom="0.75" header="0.3" footer="0.3"/>
  <pageSetup scale="42" orientation="portrait" horizontalDpi="90" verticalDpi="90" r:id="rId1"/>
  <headerFooter>
    <oddHeader>&amp;L&amp;G</oddHeader>
    <oddFooter>&amp;C2425 55th Street, Boulder, CO 80301 | archer-tech@idtdna.com
RA-DOC-064 / REV02
For research use only. Not for use in diagnostic procedures.</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183ec604-de81-40f3-a8e5-f9e950b7d19c">
      <UserInfo>
        <DisplayName/>
        <AccountId xsi:nil="true"/>
        <AccountType/>
      </UserInfo>
    </SharedWithUsers>
    <lcf76f155ced4ddcb4097134ff3c332f xmlns="3a4d4741-700e-4f1d-9f47-871bba99d900">
      <Terms xmlns="http://schemas.microsoft.com/office/infopath/2007/PartnerControls"/>
    </lcf76f155ced4ddcb4097134ff3c332f>
    <TaxCatchAll xmlns="183ec604-de81-40f3-a8e5-f9e950b7d19c"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18AF51BE77D9A246B2E499627F356771" ma:contentTypeVersion="18" ma:contentTypeDescription="Create a new document." ma:contentTypeScope="" ma:versionID="5dc108d2f50a1dfc072277f760e5c9ad">
  <xsd:schema xmlns:xsd="http://www.w3.org/2001/XMLSchema" xmlns:xs="http://www.w3.org/2001/XMLSchema" xmlns:p="http://schemas.microsoft.com/office/2006/metadata/properties" xmlns:ns2="3a4d4741-700e-4f1d-9f47-871bba99d900" xmlns:ns3="183ec604-de81-40f3-a8e5-f9e950b7d19c" targetNamespace="http://schemas.microsoft.com/office/2006/metadata/properties" ma:root="true" ma:fieldsID="ed3f46d503e51bc6ab3fda305abe833d" ns2:_="" ns3:_="">
    <xsd:import namespace="3a4d4741-700e-4f1d-9f47-871bba99d900"/>
    <xsd:import namespace="183ec604-de81-40f3-a8e5-f9e950b7d19c"/>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element ref="ns2:MediaServiceDateTaken" minOccurs="0"/>
                <xsd:element ref="ns2:MediaLengthInSeconds" minOccurs="0"/>
                <xsd:element ref="ns2:MediaServiceLocation" minOccurs="0"/>
                <xsd:element ref="ns2:lcf76f155ced4ddcb4097134ff3c332f" minOccurs="0"/>
                <xsd:element ref="ns3:TaxCatchAll"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a4d4741-700e-4f1d-9f47-871bba99d90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c893bb2c-950b-4672-b623-c5bc4517d6aa"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83ec604-de81-40f3-a8e5-f9e950b7d19c"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49b88dff-8418-487c-8fad-41d02b993000}" ma:internalName="TaxCatchAll" ma:showField="CatchAllData" ma:web="183ec604-de81-40f3-a8e5-f9e950b7d19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B69A897-2E65-471A-BCCD-6815AC732502}">
  <ds:schemaRefs>
    <ds:schemaRef ds:uri="http://schemas.microsoft.com/sharepoint/v3/contenttype/forms"/>
  </ds:schemaRefs>
</ds:datastoreItem>
</file>

<file path=customXml/itemProps2.xml><?xml version="1.0" encoding="utf-8"?>
<ds:datastoreItem xmlns:ds="http://schemas.openxmlformats.org/officeDocument/2006/customXml" ds:itemID="{E49FBDFC-DA8B-4B16-8EAB-743DC27FB821}">
  <ds:schemaRefs>
    <ds:schemaRef ds:uri="http://schemas.microsoft.com/office/2006/documentManagement/types"/>
    <ds:schemaRef ds:uri="http://schemas.openxmlformats.org/package/2006/metadata/core-properties"/>
    <ds:schemaRef ds:uri="d81d39e6-1138-4153-aa7b-952e8ea6a783"/>
    <ds:schemaRef ds:uri="http://schemas.microsoft.com/office/infopath/2007/PartnerControls"/>
    <ds:schemaRef ds:uri="http://purl.org/dc/elements/1.1/"/>
    <ds:schemaRef ds:uri="http://purl.org/dc/dcmitype/"/>
    <ds:schemaRef ds:uri="http://purl.org/dc/terms/"/>
    <ds:schemaRef ds:uri="63aeb4ba-87cb-4257-8b9f-4308ee4167b6"/>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56985987-F537-467F-AFA9-117B88C88D7B}"/>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7</vt:i4>
      </vt:variant>
      <vt:variant>
        <vt:lpstr>Named Ranges</vt:lpstr>
      </vt:variant>
      <vt:variant>
        <vt:i4>3</vt:i4>
      </vt:variant>
    </vt:vector>
  </HeadingPairs>
  <TitlesOfParts>
    <vt:vector size="10" baseType="lpstr">
      <vt:lpstr>Library - Standard Curve</vt:lpstr>
      <vt:lpstr>Library - Raw Data</vt:lpstr>
      <vt:lpstr>Library - Conc Calc</vt:lpstr>
      <vt:lpstr>Library Pooling Calculator</vt:lpstr>
      <vt:lpstr>Pool - Standard Curve</vt:lpstr>
      <vt:lpstr>Pool - Raw Data &amp; Conc Calc</vt:lpstr>
      <vt:lpstr>Sequencer Loading Sheet</vt:lpstr>
      <vt:lpstr>'Library - Conc Calc'!_l0w4yeicmv4n</vt:lpstr>
      <vt:lpstr>'Library - Standard Curve'!Print_Area</vt:lpstr>
      <vt:lpstr>'Pool - Standard Curve'!Print_Area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Wegner, Elina</cp:lastModifiedBy>
  <cp:revision/>
  <dcterms:created xsi:type="dcterms:W3CDTF">2021-04-01T17:53:27Z</dcterms:created>
  <dcterms:modified xsi:type="dcterms:W3CDTF">2023-12-06T01:14:33Z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48041ff-f5de-4583-8841-e2a1851ee5d2_Enabled">
    <vt:lpwstr>true</vt:lpwstr>
  </property>
  <property fmtid="{D5CDD505-2E9C-101B-9397-08002B2CF9AE}" pid="3" name="MSIP_Label_f48041ff-f5de-4583-8841-e2a1851ee5d2_SetDate">
    <vt:lpwstr>2023-04-12T20:07:51Z</vt:lpwstr>
  </property>
  <property fmtid="{D5CDD505-2E9C-101B-9397-08002B2CF9AE}" pid="4" name="MSIP_Label_f48041ff-f5de-4583-8841-e2a1851ee5d2_Method">
    <vt:lpwstr>Privileged</vt:lpwstr>
  </property>
  <property fmtid="{D5CDD505-2E9C-101B-9397-08002B2CF9AE}" pid="5" name="MSIP_Label_f48041ff-f5de-4583-8841-e2a1851ee5d2_Name">
    <vt:lpwstr>Confidential</vt:lpwstr>
  </property>
  <property fmtid="{D5CDD505-2E9C-101B-9397-08002B2CF9AE}" pid="6" name="MSIP_Label_f48041ff-f5de-4583-8841-e2a1851ee5d2_SiteId">
    <vt:lpwstr>771c9c47-7f24-44dc-958e-34f8713a8394</vt:lpwstr>
  </property>
  <property fmtid="{D5CDD505-2E9C-101B-9397-08002B2CF9AE}" pid="7" name="MSIP_Label_f48041ff-f5de-4583-8841-e2a1851ee5d2_ActionId">
    <vt:lpwstr>47acf36e-0e66-4569-b599-bc3b57b274a7</vt:lpwstr>
  </property>
  <property fmtid="{D5CDD505-2E9C-101B-9397-08002B2CF9AE}" pid="8" name="MSIP_Label_f48041ff-f5de-4583-8841-e2a1851ee5d2_ContentBits">
    <vt:lpwstr>2</vt:lpwstr>
  </property>
  <property fmtid="{D5CDD505-2E9C-101B-9397-08002B2CF9AE}" pid="9" name="MediaServiceImageTags">
    <vt:lpwstr/>
  </property>
  <property fmtid="{D5CDD505-2E9C-101B-9397-08002B2CF9AE}" pid="10" name="ContentTypeId">
    <vt:lpwstr>0x01010018AF51BE77D9A246B2E499627F356771</vt:lpwstr>
  </property>
  <property fmtid="{D5CDD505-2E9C-101B-9397-08002B2CF9AE}" pid="11" name="_ColorHex">
    <vt:lpwstr/>
  </property>
  <property fmtid="{D5CDD505-2E9C-101B-9397-08002B2CF9AE}" pid="12" name="ComplianceAssetId">
    <vt:lpwstr/>
  </property>
  <property fmtid="{D5CDD505-2E9C-101B-9397-08002B2CF9AE}" pid="13" name="_ExtendedDescription">
    <vt:lpwstr/>
  </property>
  <property fmtid="{D5CDD505-2E9C-101B-9397-08002B2CF9AE}" pid="14" name="_ColorTag">
    <vt:lpwstr/>
  </property>
  <property fmtid="{D5CDD505-2E9C-101B-9397-08002B2CF9AE}" pid="15" name="TriggerFlowInfo">
    <vt:lpwstr/>
  </property>
  <property fmtid="{D5CDD505-2E9C-101B-9397-08002B2CF9AE}" pid="16" name="_Emoji">
    <vt:lpwstr/>
  </property>
  <property fmtid="{D5CDD505-2E9C-101B-9397-08002B2CF9AE}" pid="17" name="MC_NextReviewDate">
    <vt:lpwstr/>
  </property>
  <property fmtid="{D5CDD505-2E9C-101B-9397-08002B2CF9AE}" pid="18" name="MC_Number">
    <vt:lpwstr>RA-DOC-064</vt:lpwstr>
  </property>
  <property fmtid="{D5CDD505-2E9C-101B-9397-08002B2CF9AE}" pid="19" name="MC_Owner">
    <vt:lpwstr>JHEATH</vt:lpwstr>
  </property>
  <property fmtid="{D5CDD505-2E9C-101B-9397-08002B2CF9AE}" pid="20" name="MC_Title">
    <vt:lpwstr>Illumina® Platform Loading Calculator</vt:lpwstr>
  </property>
  <property fmtid="{D5CDD505-2E9C-101B-9397-08002B2CF9AE}" pid="21" name="MC_EffectiveDate">
    <vt:lpwstr/>
  </property>
  <property fmtid="{D5CDD505-2E9C-101B-9397-08002B2CF9AE}" pid="22" name="MC_ReleaseDate">
    <vt:lpwstr/>
  </property>
  <property fmtid="{D5CDD505-2E9C-101B-9397-08002B2CF9AE}" pid="23" name="MC_Vault">
    <vt:lpwstr>RA-In Works</vt:lpwstr>
  </property>
  <property fmtid="{D5CDD505-2E9C-101B-9397-08002B2CF9AE}" pid="24" name="MC_Notes">
    <vt:lpwstr/>
  </property>
  <property fmtid="{D5CDD505-2E9C-101B-9397-08002B2CF9AE}" pid="25" name="MC_Revision">
    <vt:lpwstr>02</vt:lpwstr>
  </property>
  <property fmtid="{D5CDD505-2E9C-101B-9397-08002B2CF9AE}" pid="26" name="MC_Author">
    <vt:lpwstr>JHEATH</vt:lpwstr>
  </property>
  <property fmtid="{D5CDD505-2E9C-101B-9397-08002B2CF9AE}" pid="27" name="MC_CreatedDate">
    <vt:lpwstr>01 Dec 2023</vt:lpwstr>
  </property>
  <property fmtid="{D5CDD505-2E9C-101B-9397-08002B2CF9AE}" pid="28" name="MC_ExpirationDate">
    <vt:lpwstr/>
  </property>
  <property fmtid="{D5CDD505-2E9C-101B-9397-08002B2CF9AE}" pid="29" name="MC_Status">
    <vt:lpwstr>Draft</vt:lpwstr>
  </property>
</Properties>
</file>